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90" windowWidth="28755" windowHeight="12585"/>
  </bookViews>
  <sheets>
    <sheet name="Instructions" sheetId="4" r:id="rId1"/>
    <sheet name="Example Worksheet" sheetId="5" r:id="rId2"/>
    <sheet name="&quot;Standard&quot; Worksheet" sheetId="1" r:id="rId3"/>
    <sheet name="&quot;Rugged&quot; Worksheet" sheetId="2" r:id="rId4"/>
    <sheet name="Sheet1" sheetId="3" state="hidden" r:id="rId5"/>
  </sheets>
  <definedNames>
    <definedName name="solver_adj" localSheetId="2" hidden="1">'"Standard" Worksheet'!$V$6:$AL$6,'"Standard" Worksheet'!$V$7:$AL$7,'"Standard" Worksheet'!$AP$7:$AY$7</definedName>
    <definedName name="solver_adj" localSheetId="1" hidden="1">'Example Worksheet'!$T$6:$AG$6,'Example Worksheet'!$T$7:$AG$7,'Example Worksheet'!$AK$7:$AT$7</definedName>
    <definedName name="solver_cvg" localSheetId="2" hidden="1">0.0001</definedName>
    <definedName name="solver_cvg" localSheetId="1" hidden="1">0.0001</definedName>
    <definedName name="solver_drv" localSheetId="2" hidden="1">1</definedName>
    <definedName name="solver_drv" localSheetId="1" hidden="1">1</definedName>
    <definedName name="solver_est" localSheetId="2" hidden="1">1</definedName>
    <definedName name="solver_est" localSheetId="1" hidden="1">1</definedName>
    <definedName name="solver_itr" localSheetId="2" hidden="1">1000</definedName>
    <definedName name="solver_itr" localSheetId="1" hidden="1">1000</definedName>
    <definedName name="solver_lhs1" localSheetId="2" hidden="1">'"Standard" Worksheet'!$V$7:$AY$7</definedName>
    <definedName name="solver_lhs1" localSheetId="1" hidden="1">'Example Worksheet'!$T$7:$AT$7</definedName>
    <definedName name="solver_lhs2" localSheetId="2" hidden="1">'"Standard" Worksheet'!$AP$20:$AY$20</definedName>
    <definedName name="solver_lhs2" localSheetId="1" hidden="1">'Example Worksheet'!$AK$20:$AT$20</definedName>
    <definedName name="solver_lhs3" localSheetId="2" hidden="1">'"Standard" Worksheet'!$AZ$10:$AZ$19</definedName>
    <definedName name="solver_lhs3" localSheetId="1" hidden="1">'Example Worksheet'!$AU$10:$AU$19</definedName>
    <definedName name="solver_lhs4" localSheetId="2" hidden="1">'"Standard" Worksheet'!$BB$6</definedName>
    <definedName name="solver_lhs4" localSheetId="1" hidden="1">'Example Worksheet'!$AW$6</definedName>
    <definedName name="solver_lhs5" localSheetId="2" hidden="1">'"Standard" Worksheet'!$AM$10:$AM$19</definedName>
    <definedName name="solver_lhs5" localSheetId="1" hidden="1">'Example Worksheet'!$AH$12:$AH$22</definedName>
    <definedName name="solver_lin" localSheetId="2" hidden="1">2</definedName>
    <definedName name="solver_lin" localSheetId="1" hidden="1">2</definedName>
    <definedName name="solver_neg" localSheetId="2" hidden="1">2</definedName>
    <definedName name="solver_neg" localSheetId="1" hidden="1">2</definedName>
    <definedName name="solver_num" localSheetId="2" hidden="1">5</definedName>
    <definedName name="solver_num" localSheetId="1" hidden="1">5</definedName>
    <definedName name="solver_nwt" localSheetId="2" hidden="1">1</definedName>
    <definedName name="solver_nwt" localSheetId="1" hidden="1">1</definedName>
    <definedName name="solver_opt" localSheetId="2" hidden="1">'"Standard" Worksheet'!$BA$6</definedName>
    <definedName name="solver_opt" localSheetId="1" hidden="1">'Example Worksheet'!$AV$6</definedName>
    <definedName name="solver_pre" localSheetId="2" hidden="1">0.000001</definedName>
    <definedName name="solver_pre" localSheetId="1" hidden="1">0.000001</definedName>
    <definedName name="solver_rel1" localSheetId="2" hidden="1">5</definedName>
    <definedName name="solver_rel1" localSheetId="1" hidden="1">5</definedName>
    <definedName name="solver_rel2" localSheetId="2" hidden="1">1</definedName>
    <definedName name="solver_rel2" localSheetId="1" hidden="1">1</definedName>
    <definedName name="solver_rel3" localSheetId="2" hidden="1">1</definedName>
    <definedName name="solver_rel3" localSheetId="1" hidden="1">1</definedName>
    <definedName name="solver_rel4" localSheetId="2" hidden="1">2</definedName>
    <definedName name="solver_rel4" localSheetId="1" hidden="1">2</definedName>
    <definedName name="solver_rel5" localSheetId="2" hidden="1">1</definedName>
    <definedName name="solver_rel5" localSheetId="1" hidden="1">1</definedName>
    <definedName name="solver_rhs1" localSheetId="2" hidden="1">binary</definedName>
    <definedName name="solver_rhs1" localSheetId="1" hidden="1">binary</definedName>
    <definedName name="solver_rhs2" localSheetId="2" hidden="1">'"Standard" Worksheet'!$AP$22:$AY$22</definedName>
    <definedName name="solver_rhs2" localSheetId="1" hidden="1">'Example Worksheet'!$AK$22:$AT$22</definedName>
    <definedName name="solver_rhs3" localSheetId="2" hidden="1">'"Standard" Worksheet'!$BB$10:$BB$19</definedName>
    <definedName name="solver_rhs3" localSheetId="1" hidden="1">'Example Worksheet'!$AW$10:$AW$19</definedName>
    <definedName name="solver_rhs4" localSheetId="2" hidden="1">'"Standard" Worksheet'!$BC$6</definedName>
    <definedName name="solver_rhs4" localSheetId="1" hidden="1">'Example Worksheet'!$AX$6</definedName>
    <definedName name="solver_rhs5" localSheetId="2" hidden="1">'"Standard" Worksheet'!$AO$10:$AO$19</definedName>
    <definedName name="solver_rhs5" localSheetId="1" hidden="1">'Example Worksheet'!$AJ$10:$AJ$19</definedName>
    <definedName name="solver_scl" localSheetId="2" hidden="1">2</definedName>
    <definedName name="solver_scl" localSheetId="1" hidden="1">2</definedName>
    <definedName name="solver_sho" localSheetId="2" hidden="1">2</definedName>
    <definedName name="solver_sho" localSheetId="1" hidden="1">2</definedName>
    <definedName name="solver_tim" localSheetId="2" hidden="1">100</definedName>
    <definedName name="solver_tim" localSheetId="1" hidden="1">100</definedName>
    <definedName name="solver_tol" localSheetId="2" hidden="1">0.05</definedName>
    <definedName name="solver_tol" localSheetId="1" hidden="1">0.05</definedName>
    <definedName name="solver_typ" localSheetId="2" hidden="1">3</definedName>
    <definedName name="solver_typ" localSheetId="1" hidden="1">3</definedName>
    <definedName name="solver_val" localSheetId="2" hidden="1">72</definedName>
    <definedName name="solver_val" localSheetId="1" hidden="1">72</definedName>
    <definedName name="TubeTypes" localSheetId="1">'Example Worksheet'!$W$7:$W$8</definedName>
    <definedName name="TubeTypes">'"Standard" Worksheet'!$AB$7:$AB$8</definedName>
  </definedNames>
  <calcPr calcId="125725"/>
</workbook>
</file>

<file path=xl/calcChain.xml><?xml version="1.0" encoding="utf-8"?>
<calcChain xmlns="http://schemas.openxmlformats.org/spreadsheetml/2006/main">
  <c r="W20" i="2"/>
  <c r="W18"/>
  <c r="W16"/>
  <c r="W14"/>
  <c r="W12"/>
  <c r="W10"/>
  <c r="W8"/>
  <c r="L25" i="1"/>
  <c r="N25" s="1"/>
  <c r="L23"/>
  <c r="N23" s="1"/>
  <c r="L21"/>
  <c r="N21" s="1"/>
  <c r="L19"/>
  <c r="L17"/>
  <c r="N17" s="1"/>
  <c r="L15"/>
  <c r="L13"/>
  <c r="N13" s="1"/>
  <c r="L11"/>
  <c r="L9"/>
  <c r="N9" s="1"/>
  <c r="N26"/>
  <c r="N24"/>
  <c r="N22"/>
  <c r="N20"/>
  <c r="N18"/>
  <c r="N16"/>
  <c r="N14"/>
  <c r="N12"/>
  <c r="N10"/>
  <c r="N8"/>
  <c r="N7"/>
  <c r="R6" i="2"/>
  <c r="L7"/>
  <c r="L19"/>
  <c r="L17"/>
  <c r="L15"/>
  <c r="L13"/>
  <c r="L11"/>
  <c r="N27" i="1"/>
  <c r="N19"/>
  <c r="L27"/>
  <c r="N15"/>
  <c r="N11"/>
  <c r="L7"/>
  <c r="K25" i="5"/>
  <c r="M25" s="1"/>
  <c r="K23"/>
  <c r="K21"/>
  <c r="K19"/>
  <c r="M19" s="1"/>
  <c r="K17"/>
  <c r="M17" s="1"/>
  <c r="K15"/>
  <c r="K13"/>
  <c r="M13" s="1"/>
  <c r="K11"/>
  <c r="M11" s="1"/>
  <c r="K9"/>
  <c r="AE9" s="1"/>
  <c r="K7"/>
  <c r="K27"/>
  <c r="M27" s="1"/>
  <c r="AE26"/>
  <c r="M26"/>
  <c r="E25"/>
  <c r="C25"/>
  <c r="AE24"/>
  <c r="M24"/>
  <c r="E24"/>
  <c r="M23"/>
  <c r="E23"/>
  <c r="C23"/>
  <c r="AE22"/>
  <c r="M22"/>
  <c r="E22"/>
  <c r="M21"/>
  <c r="E21"/>
  <c r="C21"/>
  <c r="AE20"/>
  <c r="M20"/>
  <c r="E20"/>
  <c r="E19"/>
  <c r="C19"/>
  <c r="AE18"/>
  <c r="M18"/>
  <c r="E18"/>
  <c r="E17"/>
  <c r="C17"/>
  <c r="AE16"/>
  <c r="M16"/>
  <c r="E16"/>
  <c r="M15"/>
  <c r="E15"/>
  <c r="C15"/>
  <c r="AE14"/>
  <c r="M14"/>
  <c r="E14"/>
  <c r="E13"/>
  <c r="C13"/>
  <c r="AE12"/>
  <c r="M12"/>
  <c r="E12"/>
  <c r="E11"/>
  <c r="C11"/>
  <c r="AE10"/>
  <c r="M10"/>
  <c r="E10"/>
  <c r="E9"/>
  <c r="C9"/>
  <c r="AE8"/>
  <c r="M8"/>
  <c r="E8"/>
  <c r="AE7"/>
  <c r="E7"/>
  <c r="C7"/>
  <c r="Q7" s="1"/>
  <c r="Q8" s="1"/>
  <c r="F7" i="1"/>
  <c r="F8"/>
  <c r="F9"/>
  <c r="F10"/>
  <c r="F11"/>
  <c r="F12"/>
  <c r="F13"/>
  <c r="F14"/>
  <c r="F15"/>
  <c r="F16"/>
  <c r="F17"/>
  <c r="F18"/>
  <c r="F19"/>
  <c r="F20"/>
  <c r="F21"/>
  <c r="F22"/>
  <c r="F23"/>
  <c r="F24"/>
  <c r="F25"/>
  <c r="F8" i="2"/>
  <c r="F9"/>
  <c r="F10"/>
  <c r="F11"/>
  <c r="F12"/>
  <c r="F13"/>
  <c r="F14"/>
  <c r="F15"/>
  <c r="F16"/>
  <c r="F17"/>
  <c r="F18"/>
  <c r="F19"/>
  <c r="F7"/>
  <c r="L21"/>
  <c r="AJ26" i="1"/>
  <c r="AJ24"/>
  <c r="AJ22"/>
  <c r="AJ20"/>
  <c r="AJ18"/>
  <c r="AJ16"/>
  <c r="AJ14"/>
  <c r="AJ12"/>
  <c r="AJ10"/>
  <c r="AJ8"/>
  <c r="C25"/>
  <c r="C23"/>
  <c r="C21"/>
  <c r="C19"/>
  <c r="C7"/>
  <c r="C17"/>
  <c r="C15"/>
  <c r="C13"/>
  <c r="C11"/>
  <c r="C9"/>
  <c r="G3" i="3"/>
  <c r="G4"/>
  <c r="G5"/>
  <c r="G6"/>
  <c r="G7"/>
  <c r="G8"/>
  <c r="G9"/>
  <c r="G10"/>
  <c r="G11"/>
  <c r="G12"/>
  <c r="G2"/>
  <c r="E3"/>
  <c r="E4"/>
  <c r="E5"/>
  <c r="E6"/>
  <c r="E7"/>
  <c r="E8"/>
  <c r="E9"/>
  <c r="E10"/>
  <c r="E11"/>
  <c r="E12"/>
  <c r="E2"/>
  <c r="L9" i="2" l="1"/>
  <c r="V9" s="1"/>
  <c r="T11" i="1"/>
  <c r="S7"/>
  <c r="T7"/>
  <c r="M9" i="5"/>
  <c r="O10"/>
  <c r="R7"/>
  <c r="R8" s="1"/>
  <c r="AE11"/>
  <c r="AE27"/>
  <c r="P7"/>
  <c r="P8" s="1"/>
  <c r="AE13"/>
  <c r="AE15"/>
  <c r="AE17"/>
  <c r="AE19"/>
  <c r="AE21"/>
  <c r="AE23"/>
  <c r="AE25"/>
  <c r="M7"/>
  <c r="S6" i="2"/>
  <c r="S7" s="1"/>
  <c r="AJ9" i="1"/>
  <c r="AJ25"/>
  <c r="AJ23"/>
  <c r="AJ21"/>
  <c r="AJ19"/>
  <c r="AJ17"/>
  <c r="AJ15"/>
  <c r="AJ13"/>
  <c r="AJ11"/>
  <c r="AJ7"/>
  <c r="V13" i="2"/>
  <c r="V19"/>
  <c r="V17"/>
  <c r="V15"/>
  <c r="V11"/>
  <c r="R7"/>
  <c r="Y12"/>
  <c r="Y14" s="1"/>
  <c r="Y16" s="1"/>
  <c r="Y18" s="1"/>
  <c r="Y20" s="1"/>
  <c r="Y10"/>
  <c r="R11" i="5" l="1"/>
  <c r="V7" i="2"/>
  <c r="T8" i="1"/>
  <c r="Q6" i="2"/>
  <c r="Q7" s="1"/>
  <c r="W19"/>
  <c r="W17"/>
  <c r="W15"/>
  <c r="W13"/>
  <c r="W11"/>
  <c r="W9"/>
  <c r="W7"/>
  <c r="R10" l="1"/>
  <c r="AJ27" i="1"/>
  <c r="W21" i="2"/>
  <c r="V21"/>
  <c r="O8"/>
  <c r="R7" i="1"/>
  <c r="R8" s="1"/>
  <c r="Q10"/>
  <c r="S8"/>
</calcChain>
</file>

<file path=xl/sharedStrings.xml><?xml version="1.0" encoding="utf-8"?>
<sst xmlns="http://schemas.openxmlformats.org/spreadsheetml/2006/main" count="388" uniqueCount="202">
  <si>
    <t>Approximate Collet Dimensions</t>
  </si>
  <si>
    <t>.75 - .875</t>
  </si>
  <si>
    <t>.875 - 1</t>
  </si>
  <si>
    <t>1 - 1.125</t>
  </si>
  <si>
    <t>1.125 - 1.25</t>
  </si>
  <si>
    <t>1.25 - 1.375</t>
  </si>
  <si>
    <t>1.375 - 1.5</t>
  </si>
  <si>
    <t>1.5 - 1.625</t>
  </si>
  <si>
    <t>1.625 - 1.75</t>
  </si>
  <si>
    <t>Stock #</t>
  </si>
  <si>
    <t>Height</t>
  </si>
  <si>
    <t>Part Dia.</t>
  </si>
  <si>
    <t>Approximate Clamp Dimensions</t>
  </si>
  <si>
    <t>Fitting ID</t>
  </si>
  <si>
    <t>.625 - .875</t>
  </si>
  <si>
    <t>.875 - 1.125</t>
  </si>
  <si>
    <t>1.125 - 1.375</t>
  </si>
  <si>
    <t>1.375 - 1.625</t>
  </si>
  <si>
    <t>1.625 - 1.875</t>
  </si>
  <si>
    <t>1.875 - 2.125</t>
  </si>
  <si>
    <t>2.125 - 2.375</t>
  </si>
  <si>
    <t>Height Calculations</t>
  </si>
  <si>
    <t>Clamp</t>
  </si>
  <si>
    <t>Bottom</t>
  </si>
  <si>
    <t>Top</t>
  </si>
  <si>
    <t>Total Extended</t>
  </si>
  <si>
    <t>Total Retracted</t>
  </si>
  <si>
    <t>Tube ID</t>
  </si>
  <si>
    <t>visible tube Length</t>
  </si>
  <si>
    <t>Collet</t>
  </si>
  <si>
    <t>Actual Length</t>
  </si>
  <si>
    <t>Actual Tube Length</t>
  </si>
  <si>
    <t>Stopper?</t>
  </si>
  <si>
    <t>yes</t>
  </si>
  <si>
    <t>no</t>
  </si>
  <si>
    <t/>
  </si>
  <si>
    <t>.5 - .625</t>
  </si>
  <si>
    <t>.625 - .75</t>
  </si>
  <si>
    <t>Price</t>
  </si>
  <si>
    <t>Material $</t>
  </si>
  <si>
    <t>Total Tube Length</t>
  </si>
  <si>
    <t>Effected</t>
  </si>
  <si>
    <t>Total Cost</t>
  </si>
  <si>
    <t>Reminder:  This form is for basic estimations only.  Clamps utilize Roll Wrapped Twill Finish Round Tubes.  This form is pre-set to add 1" to your visible tube length should you choose to use the stopper.  If you need more stability at extensions, utilize more room inside tube and adjust the value (in inches) to reflect the increase.</t>
  </si>
  <si>
    <t>in</t>
  </si>
  <si>
    <t>ft</t>
  </si>
  <si>
    <t>Inner Tube Length</t>
  </si>
  <si>
    <t>B</t>
  </si>
  <si>
    <t>J</t>
  </si>
  <si>
    <t>E</t>
  </si>
  <si>
    <t>X</t>
  </si>
  <si>
    <t>A</t>
  </si>
  <si>
    <t>Y</t>
  </si>
  <si>
    <t>Reminder:  This form is for basic estimations only.  Collets utilize TWILL TELESCOPING TUBES or UNI TELESCOPING TUBES.  This form automatically adds 3" to your visible tube length as room for plastic tape and stability.  If you need more stability at extensions, utilize more room inside tube and adjusting the inner tube length value below.</t>
  </si>
  <si>
    <t>Type of Tube (Uni or Twill?)</t>
  </si>
  <si>
    <t>uni</t>
  </si>
  <si>
    <t>twill</t>
  </si>
  <si>
    <t>0.5"</t>
  </si>
  <si>
    <t>.625"</t>
  </si>
  <si>
    <t>.75"</t>
  </si>
  <si>
    <t>.875"</t>
  </si>
  <si>
    <t>1"</t>
  </si>
  <si>
    <t>1.125"</t>
  </si>
  <si>
    <t>1.375"</t>
  </si>
  <si>
    <t>1.5"</t>
  </si>
  <si>
    <t>1.625"</t>
  </si>
  <si>
    <t>1.75"</t>
  </si>
  <si>
    <t>1.25"</t>
  </si>
  <si>
    <t>http://dragonplate.com/ecart/product.asp?pID=6211&amp;cID=278</t>
  </si>
  <si>
    <t>http://dragonplate.com/ecart/product.asp?pID=6212&amp;cID=278</t>
  </si>
  <si>
    <t>http://dragonplate.com/ecart/product.asp?pID=6213&amp;cID=278</t>
  </si>
  <si>
    <t>http://dragonplate.com/ecart/product.asp?pID=6214&amp;cID=278</t>
  </si>
  <si>
    <t>http://dragonplate.com/ecart/product.asp?pID=6215&amp;cID=278</t>
  </si>
  <si>
    <t>http://dragonplate.com/ecart/product.asp?pID=6216&amp;cID=278</t>
  </si>
  <si>
    <t>http://dragonplate.com/ecart/product.asp?pID=6217&amp;cID=278</t>
  </si>
  <si>
    <t>http://dragonplate.com/ecart/product.asp?pID=6218&amp;cID=278</t>
  </si>
  <si>
    <t>http://dragonplate.com/ecart/product.asp?pID=6219&amp;cID=278</t>
  </si>
  <si>
    <t>http://dragonplate.com/ecart/product.asp?pID=6220&amp;cID=278</t>
  </si>
  <si>
    <t>http://dragonplate.com/ecart/product.asp?pID=6221&amp;cID=278</t>
  </si>
  <si>
    <t>http://dragonplate.com/ecart/product.asp?pID=6222&amp;cID=278</t>
  </si>
  <si>
    <t>http://dragonplate.com/ecart/product.asp?pID=6223&amp;cID=278</t>
  </si>
  <si>
    <t>http://dragonplate.com/ecart/product.asp?pID=6224&amp;cID=278</t>
  </si>
  <si>
    <t>http://dragonplate.com/ecart/product.asp?pID=6225&amp;cID=278</t>
  </si>
  <si>
    <t>http://dragonplate.com/ecart/product.asp?pID=6226&amp;cID=278</t>
  </si>
  <si>
    <t>http://dragonplate.com/ecart/product.asp?pID=6227&amp;cID=278</t>
  </si>
  <si>
    <t>http://dragonplate.com/ecart/product.asp?pID=6228&amp;cID=278</t>
  </si>
  <si>
    <t>http://dragonplate.com/ecart/product.asp?pID=6229&amp;cID=278</t>
  </si>
  <si>
    <t>http://dragonplate.com/ecart/product.asp?pID=6230&amp;cID=278</t>
  </si>
  <si>
    <t>http://dragonplate.com/ecart/product.asp?pID=6231&amp;cID=278</t>
  </si>
  <si>
    <t>http://dragonplate.com/ecart/product.asp?pID=6232&amp;cID=278</t>
  </si>
  <si>
    <t>http://dragonplate.com/ecart/product.asp?pID=6233&amp;cID=278</t>
  </si>
  <si>
    <t>http://dragonplate.com/ecart/product.asp?pID=6234&amp;cID=278</t>
  </si>
  <si>
    <t>http://dragonplate.com/ecart/product.asp?pID=6235&amp;cID=278</t>
  </si>
  <si>
    <t>http://dragonplate.com/ecart/product.asp?pID=6236&amp;cID=278</t>
  </si>
  <si>
    <t>http://dragonplate.com/ecart/product.asp?pID=6237&amp;cID=278</t>
  </si>
  <si>
    <t>http://dragonplate.com/ecart/product.asp?pID=6238&amp;cID=278</t>
  </si>
  <si>
    <t>http://dragonplate.com/ecart/product.asp?pID=6239&amp;cID=278</t>
  </si>
  <si>
    <t>http://dragonplate.com/ecart/product.asp?pID=6240&amp;cID=278</t>
  </si>
  <si>
    <t>http://dragonplate.com/ecart/product.asp?pID=6241&amp;cID=278</t>
  </si>
  <si>
    <t>http://dragonplate.com/ecart/product.asp?pID=6242&amp;cID=278</t>
  </si>
  <si>
    <t>http://dragonplate.com/ecart/product.asp?pID=6243&amp;cID=278</t>
  </si>
  <si>
    <t>http://dragonplate.com/ecart/product.asp?pID=6136&amp;cID=196</t>
  </si>
  <si>
    <t>http://dragonplate.com/ecart/product.asp?pID=6137&amp;cID=196</t>
  </si>
  <si>
    <t>http://dragonplate.com/ecart/product.asp?pID=5171&amp;cID=196</t>
  </si>
  <si>
    <t>http://dragonplate.com/ecart/product.asp?pID=5172&amp;cID=196</t>
  </si>
  <si>
    <t>http://dragonplate.com/ecart/product.asp?pID=5173&amp;cID=196</t>
  </si>
  <si>
    <t>http://dragonplate.com/ecart/product.asp?pID=5197&amp;cID=196</t>
  </si>
  <si>
    <t>http://dragonplate.com/ecart/product.asp?pID=5198&amp;cID=196</t>
  </si>
  <si>
    <t>http://dragonplate.com/ecart/product.asp?pID=5199&amp;cID=196</t>
  </si>
  <si>
    <t>http://dragonplate.com/ecart/product.asp?pID=5712&amp;cID=196</t>
  </si>
  <si>
    <t>http://dragonplate.com/ecart/product.asp?pID=5713&amp;cID=196</t>
  </si>
  <si>
    <t>http://dragonplate.com/ecart/product.asp?pID=5869&amp;cID=277</t>
  </si>
  <si>
    <t>http://dragonplate.com/ecart/product.asp?pID=5868&amp;cID=277</t>
  </si>
  <si>
    <t>http://dragonplate.com/ecart/product.asp?pID=5867&amp;cID=277</t>
  </si>
  <si>
    <t>http://dragonplate.com/ecart/product.asp?pID=5904&amp;cID=277</t>
  </si>
  <si>
    <t>http://dragonplate.com/ecart/product.asp?pID=5903&amp;cID=277</t>
  </si>
  <si>
    <t>http://dragonplate.com/ecart/product.asp?pID=6193&amp;cID=277</t>
  </si>
  <si>
    <t>http://dragonplate.com/ecart/product.asp?pID=4853&amp;cID=277</t>
  </si>
  <si>
    <t>http://dragonplate.com/ecart/product.asp?pID=4854&amp;cID=277</t>
  </si>
  <si>
    <t>http://dragonplate.com/ecart/product.asp?pID=4852&amp;cID=277</t>
  </si>
  <si>
    <t>http://dragonplate.com/ecart/product.asp?pID=4930&amp;cID=277</t>
  </si>
  <si>
    <t>http://dragonplate.com/ecart/product.asp?pID=4931&amp;cID=277</t>
  </si>
  <si>
    <t>http://dragonplate.com/ecart/product.asp?pID=6195&amp;cID=277</t>
  </si>
  <si>
    <t>http://dragonplate.com/ecart/product.asp?pID=4823&amp;cID=277</t>
  </si>
  <si>
    <t>http://dragonplate.com/ecart/product.asp?pID=4824&amp;cID=277</t>
  </si>
  <si>
    <t>http://dragonplate.com/ecart/product.asp?pID=6196&amp;cID=277</t>
  </si>
  <si>
    <t>http://dragonplate.com/ecart/product.asp?pID=4933&amp;cID=277</t>
  </si>
  <si>
    <t>http://dragonplate.com/ecart/product.asp?pID=4934&amp;cID=277</t>
  </si>
  <si>
    <t>http://dragonplate.com/ecart/product.asp?pID=6197&amp;cID=277</t>
  </si>
  <si>
    <t>http://dragonplate.com/ecart/product.asp?pID=4847&amp;cID=277</t>
  </si>
  <si>
    <t>http://dragonplate.com/ecart/product.asp?pID=4848&amp;cID=277</t>
  </si>
  <si>
    <t>http://dragonplate.com/ecart/product.asp?pID=6198&amp;cID=277</t>
  </si>
  <si>
    <t>http://dragonplate.com/ecart/product.asp?pID=4936&amp;cID=277</t>
  </si>
  <si>
    <t>http://dragonplate.com/ecart/product.asp?pID=4937&amp;cID=277</t>
  </si>
  <si>
    <t>http://dragonplate.com/ecart/product.asp?pID=6199&amp;cID=277</t>
  </si>
  <si>
    <t>http://dragonplate.com/ecart/product.asp?pID=4827&amp;cID=277</t>
  </si>
  <si>
    <t>http://dragonplate.com/ecart/product.asp?pID=6202&amp;cID=277</t>
  </si>
  <si>
    <t>http://dragonplate.com/ecart/product.asp?pID=4826&amp;cID=277</t>
  </si>
  <si>
    <t>Instructions for use</t>
  </si>
  <si>
    <t>First determine whether you want to use the standard or rugged version</t>
  </si>
  <si>
    <t>A)</t>
  </si>
  <si>
    <t>Standard is great for horizontal spans and light loads</t>
  </si>
  <si>
    <t>B)</t>
  </si>
  <si>
    <t>Rugged version is a better option for verticle spans and larger loads</t>
  </si>
  <si>
    <t>Determine what is the most important feature for your assembly to dictate where to build from:</t>
  </si>
  <si>
    <t>If you want to use modular connectors, start at a tube size from 1"ID or less</t>
  </si>
  <si>
    <t>If you need the greatest stability, start with the largest diameter</t>
  </si>
  <si>
    <t>C)</t>
  </si>
  <si>
    <t>Start from known size constraints</t>
  </si>
  <si>
    <t>Things to decide:</t>
  </si>
  <si>
    <t>How many sections do I want?</t>
  </si>
  <si>
    <t>*Keep in mind that the maximum tube length is 8' for most tubes</t>
  </si>
  <si>
    <t>How far do I want to reach?</t>
  </si>
  <si>
    <t>*Either by more joints or longer tubes</t>
  </si>
  <si>
    <t>How small do I want it to retract to?</t>
  </si>
  <si>
    <t>*Key determining factor is bottom most tube and joints used</t>
  </si>
  <si>
    <t>D)</t>
  </si>
  <si>
    <t>How much overlap do you want to use?</t>
  </si>
  <si>
    <t>*The more overlap, the more stable and less deflection but less extension</t>
  </si>
  <si>
    <t>Once you have answered these questions:</t>
  </si>
  <si>
    <t>Use the desired retracted length as the 'visable tube length'</t>
  </si>
  <si>
    <t>for the largest, or bottom most, tube</t>
  </si>
  <si>
    <t>Input your predetermined overlap in the pink box under "Inner Tube Length"</t>
  </si>
  <si>
    <t>Subtract your inner tube length from the length of the bottom tube</t>
  </si>
  <si>
    <t>*Notice that the actual length should now be the same as your bottom tube</t>
  </si>
  <si>
    <t>Repeat this process for the next size up until you have satisfied your reqiurements</t>
  </si>
  <si>
    <t>E)</t>
  </si>
  <si>
    <t>Click the checkboxes between completed tubes to add joints to your assembly</t>
  </si>
  <si>
    <t>*For the rugged, be sure to use the yes/no drop down under the box labeled "Stopper?"</t>
  </si>
  <si>
    <t>to select whether or not to account of the tube stopper in price</t>
  </si>
  <si>
    <t>F)</t>
  </si>
  <si>
    <t>Verify your conditions have been met and make any necessary adjustments.</t>
  </si>
  <si>
    <t>Keep in mind the only way to reduce the retracted length is by reducing all</t>
  </si>
  <si>
    <t>tube lengths including the bottom most tube</t>
  </si>
  <si>
    <t>Steps</t>
  </si>
  <si>
    <t>Decided on a standard tube for a "selfie Stick"</t>
  </si>
  <si>
    <t>To have the largest choice of modular connectors,</t>
  </si>
  <si>
    <t>I chose the 0.75" ID tube at the top</t>
  </si>
  <si>
    <t>I want to go out to almost 10ft but can't settle for</t>
  </si>
  <si>
    <t>more than 2.5ft retracted.  Standard overlap is fine for me</t>
  </si>
  <si>
    <t>hit my retracted goal</t>
  </si>
  <si>
    <t>(2' long tubes * 5 tubes = 10' extension)</t>
  </si>
  <si>
    <t>for my smaller tubes</t>
  </si>
  <si>
    <t>C</t>
  </si>
  <si>
    <t xml:space="preserve">Five tubes down from 0.75 is 1.25 so I'll start there </t>
  </si>
  <si>
    <t>Now I go up each tube with my smaller tube length</t>
  </si>
  <si>
    <t>of 21"</t>
  </si>
  <si>
    <t>F</t>
  </si>
  <si>
    <t>Last step is to click on the checkboxes between</t>
  </si>
  <si>
    <t>the filled in lines</t>
  </si>
  <si>
    <t>G</t>
  </si>
  <si>
    <t>Using the standard tubing, I can choose uni or twill</t>
  </si>
  <si>
    <t>faces options.  I'll choose uni because it's sleek</t>
  </si>
  <si>
    <t>To get the extension higher, I can either add a new section</t>
  </si>
  <si>
    <t>or reduce the inner tube length</t>
  </si>
  <si>
    <t>D</t>
  </si>
  <si>
    <r>
      <t xml:space="preserve">Using </t>
    </r>
    <r>
      <rPr>
        <b/>
        <sz val="11"/>
        <color theme="1"/>
        <rFont val="Calibri"/>
        <family val="2"/>
        <scheme val="minor"/>
      </rPr>
      <t>qty(5)</t>
    </r>
    <r>
      <rPr>
        <sz val="11"/>
        <color theme="1"/>
        <rFont val="Calibri"/>
        <family val="2"/>
        <scheme val="minor"/>
      </rPr>
      <t xml:space="preserve"> tubes allows me to go to around </t>
    </r>
    <r>
      <rPr>
        <b/>
        <sz val="11"/>
        <color theme="1"/>
        <rFont val="Calibri"/>
        <family val="2"/>
        <scheme val="minor"/>
      </rPr>
      <t>10ft</t>
    </r>
  </si>
  <si>
    <r>
      <t xml:space="preserve">Using the standard </t>
    </r>
    <r>
      <rPr>
        <b/>
        <sz val="11"/>
        <color theme="1"/>
        <rFont val="Calibri"/>
        <family val="2"/>
        <scheme val="minor"/>
      </rPr>
      <t>24"</t>
    </r>
    <r>
      <rPr>
        <sz val="11"/>
        <color theme="1"/>
        <rFont val="Calibri"/>
        <family val="2"/>
        <scheme val="minor"/>
      </rPr>
      <t xml:space="preserve"> tubes for my base means I'll</t>
    </r>
  </si>
  <si>
    <r>
      <t xml:space="preserve">Using the standard </t>
    </r>
    <r>
      <rPr>
        <b/>
        <sz val="11"/>
        <color theme="1"/>
        <rFont val="Calibri"/>
        <family val="2"/>
        <scheme val="minor"/>
      </rPr>
      <t>3" overlap</t>
    </r>
    <r>
      <rPr>
        <sz val="11"/>
        <color theme="1"/>
        <rFont val="Calibri"/>
        <family val="2"/>
        <scheme val="minor"/>
      </rPr>
      <t xml:space="preserve">, I'll have </t>
    </r>
    <r>
      <rPr>
        <b/>
        <sz val="11"/>
        <color theme="1"/>
        <rFont val="Calibri"/>
        <family val="2"/>
        <scheme val="minor"/>
      </rPr>
      <t>21" visible</t>
    </r>
  </si>
  <si>
    <r>
      <t xml:space="preserve">with my </t>
    </r>
    <r>
      <rPr>
        <b/>
        <sz val="11"/>
        <color theme="1"/>
        <rFont val="Calibri"/>
        <family val="2"/>
        <scheme val="minor"/>
      </rPr>
      <t>maximum length of 24"</t>
    </r>
  </si>
  <si>
    <t>Pre-Assembled?</t>
  </si>
  <si>
    <t>CARBON FIBER TELESCOPING TUBE DESIGNER</t>
  </si>
</sst>
</file>

<file path=xl/styles.xml><?xml version="1.0" encoding="utf-8"?>
<styleSheet xmlns="http://schemas.openxmlformats.org/spreadsheetml/2006/main">
  <numFmts count="2">
    <numFmt numFmtId="8" formatCode="&quot;$&quot;#,##0.00_);[Red]\(&quot;$&quot;#,##0.00\)"/>
    <numFmt numFmtId="44" formatCode="_(&quot;$&quot;* #,##0.00_);_(&quot;$&quot;* \(#,##0.00\);_(&quot;$&quot;* &quot;-&quot;??_);_(@_)"/>
  </numFmts>
  <fonts count="10">
    <font>
      <sz val="11"/>
      <color theme="1"/>
      <name val="Calibri"/>
      <family val="2"/>
      <scheme val="minor"/>
    </font>
    <font>
      <sz val="11"/>
      <color theme="1"/>
      <name val="Calibri"/>
      <family val="2"/>
      <scheme val="minor"/>
    </font>
    <font>
      <sz val="11"/>
      <color rgb="FF006100"/>
      <name val="Calibri"/>
      <family val="2"/>
      <scheme val="minor"/>
    </font>
    <font>
      <b/>
      <sz val="11"/>
      <name val="Calibri"/>
      <family val="2"/>
      <scheme val="minor"/>
    </font>
    <font>
      <sz val="11"/>
      <color theme="2" tint="-9.9978637043366805E-2"/>
      <name val="Calibri"/>
      <family val="2"/>
      <scheme val="minor"/>
    </font>
    <font>
      <u/>
      <sz val="11"/>
      <color theme="10"/>
      <name val="Calibri"/>
      <family val="2"/>
    </font>
    <font>
      <b/>
      <sz val="11"/>
      <color theme="1"/>
      <name val="Calibri"/>
      <family val="2"/>
      <scheme val="minor"/>
    </font>
    <font>
      <sz val="11"/>
      <color theme="0"/>
      <name val="Calibri"/>
      <family val="2"/>
      <scheme val="minor"/>
    </font>
    <font>
      <b/>
      <u/>
      <sz val="14"/>
      <color theme="0"/>
      <name val="Calibri"/>
      <family val="2"/>
      <scheme val="minor"/>
    </font>
    <font>
      <b/>
      <sz val="24"/>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6EFCE"/>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C00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5" borderId="0" applyNumberFormat="0" applyBorder="0" applyAlignment="0" applyProtection="0"/>
    <xf numFmtId="0" fontId="5" fillId="0" borderId="0" applyNumberFormat="0" applyFill="0" applyBorder="0" applyAlignment="0" applyProtection="0">
      <alignment vertical="top"/>
      <protection locked="0"/>
    </xf>
  </cellStyleXfs>
  <cellXfs count="76">
    <xf numFmtId="0" fontId="0" fillId="0" borderId="0" xfId="0"/>
    <xf numFmtId="0" fontId="0" fillId="0" borderId="1" xfId="0" applyBorder="1"/>
    <xf numFmtId="0" fontId="0" fillId="0" borderId="2" xfId="0" applyBorder="1"/>
    <xf numFmtId="0" fontId="0" fillId="0" borderId="0" xfId="0" applyAlignment="1">
      <alignment horizontal="left"/>
    </xf>
    <xf numFmtId="0" fontId="0" fillId="0" borderId="0" xfId="0" applyAlignment="1">
      <alignment horizontal="center"/>
    </xf>
    <xf numFmtId="0" fontId="0" fillId="3" borderId="0" xfId="0" applyFill="1"/>
    <xf numFmtId="0" fontId="0" fillId="0" borderId="2" xfId="0" applyBorder="1" applyAlignment="1">
      <alignment horizontal="center" wrapText="1"/>
    </xf>
    <xf numFmtId="0" fontId="0" fillId="0" borderId="2" xfId="0" applyBorder="1" applyAlignment="1">
      <alignment horizontal="center"/>
    </xf>
    <xf numFmtId="0" fontId="0" fillId="0" borderId="0" xfId="0" applyBorder="1"/>
    <xf numFmtId="0" fontId="0" fillId="0" borderId="1" xfId="0" applyBorder="1" applyAlignment="1">
      <alignment horizontal="center" wrapText="1"/>
    </xf>
    <xf numFmtId="44" fontId="0" fillId="0" borderId="0" xfId="1" applyFont="1"/>
    <xf numFmtId="8" fontId="0" fillId="0" borderId="0" xfId="0" applyNumberFormat="1"/>
    <xf numFmtId="0" fontId="0" fillId="0" borderId="0" xfId="0" applyNumberFormat="1"/>
    <xf numFmtId="0" fontId="0" fillId="0" borderId="0" xfId="0" applyFill="1" applyBorder="1"/>
    <xf numFmtId="0" fontId="0" fillId="0" borderId="1" xfId="0" applyBorder="1" applyAlignment="1"/>
    <xf numFmtId="0" fontId="0" fillId="4" borderId="11" xfId="0" applyFill="1" applyBorder="1"/>
    <xf numFmtId="0" fontId="0" fillId="4" borderId="12" xfId="0" applyFill="1" applyBorder="1"/>
    <xf numFmtId="0" fontId="0" fillId="0" borderId="11" xfId="0" applyBorder="1"/>
    <xf numFmtId="44" fontId="2" fillId="5" borderId="0" xfId="2" applyNumberFormat="1"/>
    <xf numFmtId="44" fontId="2" fillId="5" borderId="0" xfId="1" applyFont="1" applyFill="1"/>
    <xf numFmtId="0" fontId="4" fillId="0" borderId="0" xfId="0" applyFont="1"/>
    <xf numFmtId="0" fontId="4" fillId="2" borderId="0" xfId="0" applyFont="1" applyFill="1"/>
    <xf numFmtId="0" fontId="0" fillId="0" borderId="1" xfId="0" applyBorder="1" applyAlignment="1">
      <alignment horizontal="center" vertical="center" wrapText="1"/>
    </xf>
    <xf numFmtId="0" fontId="0" fillId="0" borderId="1" xfId="0" applyBorder="1" applyAlignment="1">
      <alignment wrapText="1"/>
    </xf>
    <xf numFmtId="8" fontId="0" fillId="0" borderId="0" xfId="0" applyNumberFormat="1" applyFill="1" applyBorder="1"/>
    <xf numFmtId="0" fontId="0" fillId="0" borderId="13" xfId="0" applyNumberFormat="1" applyBorder="1"/>
    <xf numFmtId="8" fontId="0" fillId="0" borderId="13" xfId="0" applyNumberFormat="1" applyFill="1" applyBorder="1"/>
    <xf numFmtId="0" fontId="0" fillId="0" borderId="1" xfId="0" applyNumberFormat="1" applyBorder="1" applyAlignment="1">
      <alignment horizontal="center"/>
    </xf>
    <xf numFmtId="0" fontId="0" fillId="0" borderId="14" xfId="0" applyNumberFormat="1" applyBorder="1" applyAlignment="1">
      <alignment horizontal="center"/>
    </xf>
    <xf numFmtId="8" fontId="5" fillId="0" borderId="0" xfId="3" applyNumberFormat="1" applyFill="1" applyBorder="1" applyAlignment="1" applyProtection="1"/>
    <xf numFmtId="0" fontId="0" fillId="0" borderId="0" xfId="0" applyNumberFormat="1" applyAlignment="1"/>
    <xf numFmtId="8" fontId="0" fillId="0" borderId="0" xfId="0" applyNumberFormat="1" applyFill="1" applyBorder="1" applyAlignment="1"/>
    <xf numFmtId="0" fontId="5" fillId="0" borderId="0" xfId="3" applyNumberFormat="1" applyAlignment="1" applyProtection="1"/>
    <xf numFmtId="0" fontId="6" fillId="0" borderId="0" xfId="0" applyFont="1"/>
    <xf numFmtId="0" fontId="0" fillId="0" borderId="0" xfId="0"/>
    <xf numFmtId="0" fontId="0" fillId="0" borderId="13" xfId="0" applyBorder="1"/>
    <xf numFmtId="0" fontId="6" fillId="0" borderId="13" xfId="0" applyFont="1" applyBorder="1"/>
    <xf numFmtId="0" fontId="6" fillId="0" borderId="11" xfId="0" applyFont="1" applyBorder="1"/>
    <xf numFmtId="0" fontId="6" fillId="0" borderId="13" xfId="0" applyFont="1" applyFill="1" applyBorder="1" applyAlignment="1">
      <alignment horizontal="right"/>
    </xf>
    <xf numFmtId="0" fontId="6" fillId="0" borderId="13" xfId="0" applyFont="1" applyBorder="1" applyAlignment="1">
      <alignment horizontal="right"/>
    </xf>
    <xf numFmtId="0" fontId="0" fillId="0" borderId="0" xfId="0" applyBorder="1" applyAlignment="1">
      <alignment wrapText="1"/>
    </xf>
    <xf numFmtId="44" fontId="7" fillId="0" borderId="0" xfId="1" applyFont="1"/>
    <xf numFmtId="0" fontId="7" fillId="0" borderId="0" xfId="0" applyFont="1" applyBorder="1"/>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0"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0" xfId="0" applyNumberFormat="1" applyAlignment="1">
      <alignment horizontal="center"/>
    </xf>
    <xf numFmtId="0" fontId="5" fillId="0" borderId="0" xfId="3" applyNumberFormat="1" applyAlignment="1" applyProtection="1">
      <alignment horizontal="center"/>
    </xf>
    <xf numFmtId="0" fontId="0" fillId="0" borderId="0" xfId="0" applyAlignment="1">
      <alignment horizontal="center" vertical="center" wrapText="1"/>
    </xf>
    <xf numFmtId="0" fontId="5" fillId="0" borderId="13" xfId="3" applyNumberFormat="1" applyBorder="1" applyAlignment="1" applyProtection="1">
      <alignment horizontal="center"/>
    </xf>
    <xf numFmtId="0" fontId="0" fillId="0" borderId="13" xfId="0" applyNumberFormat="1" applyBorder="1" applyAlignment="1">
      <alignment horizontal="center"/>
    </xf>
    <xf numFmtId="0" fontId="3" fillId="0" borderId="0" xfId="0" applyFont="1" applyFill="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0" xfId="0" applyFill="1" applyBorder="1" applyAlignment="1">
      <alignment horizontal="center" vertical="center" wrapText="1"/>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0" xfId="0" applyFont="1" applyFill="1" applyBorder="1" applyAlignment="1">
      <alignment horizontal="center" vertical="center"/>
    </xf>
    <xf numFmtId="0" fontId="0" fillId="0" borderId="0" xfId="0" applyAlignment="1">
      <alignment horizontal="center"/>
    </xf>
    <xf numFmtId="0" fontId="0" fillId="0" borderId="3" xfId="0" applyBorder="1" applyAlignment="1">
      <alignment horizontal="center"/>
    </xf>
    <xf numFmtId="0" fontId="9" fillId="0" borderId="3" xfId="0" applyFont="1" applyBorder="1" applyAlignment="1">
      <alignment horizontal="center"/>
    </xf>
  </cellXfs>
  <cellStyles count="4">
    <cellStyle name="Currency" xfId="1" builtinId="4"/>
    <cellStyle name="Good" xfId="2" builtinId="26"/>
    <cellStyle name="Hyperlink" xfId="3" builtinId="8"/>
    <cellStyle name="Normal" xfId="0" builtinId="0"/>
  </cellStyles>
  <dxfs count="1">
    <dxf>
      <fill>
        <patternFill>
          <bgColor rgb="FFCC0000"/>
        </patternFill>
      </fill>
    </dxf>
  </dxfs>
  <tableStyles count="0" defaultTableStyle="TableStyleMedium9" defaultPivotStyle="PivotStyleLight16"/>
  <colors>
    <mruColors>
      <color rgb="FFCC00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0</xdr:row>
      <xdr:rowOff>66675</xdr:rowOff>
    </xdr:from>
    <xdr:to>
      <xdr:col>6</xdr:col>
      <xdr:colOff>438150</xdr:colOff>
      <xdr:row>1</xdr:row>
      <xdr:rowOff>102783</xdr:rowOff>
    </xdr:to>
    <xdr:pic>
      <xdr:nvPicPr>
        <xdr:cNvPr id="2" name="Picture 1" descr="DragonPlateLogo.jpg"/>
        <xdr:cNvPicPr>
          <a:picLocks noChangeAspect="1"/>
        </xdr:cNvPicPr>
      </xdr:nvPicPr>
      <xdr:blipFill>
        <a:blip xmlns:r="http://schemas.openxmlformats.org/officeDocument/2006/relationships" r:embed="rId1" cstate="print"/>
        <a:stretch>
          <a:fillRect/>
        </a:stretch>
      </xdr:blipFill>
      <xdr:spPr>
        <a:xfrm>
          <a:off x="723900" y="66675"/>
          <a:ext cx="5038725" cy="10838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295277</xdr:colOff>
      <xdr:row>6</xdr:row>
      <xdr:rowOff>28576</xdr:rowOff>
    </xdr:from>
    <xdr:to>
      <xdr:col>6</xdr:col>
      <xdr:colOff>304800</xdr:colOff>
      <xdr:row>25</xdr:row>
      <xdr:rowOff>123825</xdr:rowOff>
    </xdr:to>
    <xdr:cxnSp macro="">
      <xdr:nvCxnSpPr>
        <xdr:cNvPr id="2" name="Straight Arrow Connector 1"/>
        <xdr:cNvCxnSpPr/>
      </xdr:nvCxnSpPr>
      <xdr:spPr>
        <a:xfrm flipH="1" flipV="1">
          <a:off x="904877" y="1695451"/>
          <a:ext cx="9523" cy="3714749"/>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161925</xdr:rowOff>
    </xdr:from>
    <xdr:to>
      <xdr:col>13</xdr:col>
      <xdr:colOff>28575</xdr:colOff>
      <xdr:row>11</xdr:row>
      <xdr:rowOff>47625</xdr:rowOff>
    </xdr:to>
    <xdr:sp macro="" textlink="">
      <xdr:nvSpPr>
        <xdr:cNvPr id="3" name="Rectangle 2"/>
        <xdr:cNvSpPr/>
      </xdr:nvSpPr>
      <xdr:spPr>
        <a:xfrm>
          <a:off x="2647950" y="2400300"/>
          <a:ext cx="2219325" cy="26670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13</xdr:col>
      <xdr:colOff>9525</xdr:colOff>
      <xdr:row>10</xdr:row>
      <xdr:rowOff>47625</xdr:rowOff>
    </xdr:from>
    <xdr:to>
      <xdr:col>13</xdr:col>
      <xdr:colOff>422275</xdr:colOff>
      <xdr:row>12</xdr:row>
      <xdr:rowOff>76200</xdr:rowOff>
    </xdr:to>
    <xdr:sp macro="" textlink="">
      <xdr:nvSpPr>
        <xdr:cNvPr id="5" name="Freeform 4"/>
        <xdr:cNvSpPr/>
      </xdr:nvSpPr>
      <xdr:spPr>
        <a:xfrm>
          <a:off x="4848225" y="2476500"/>
          <a:ext cx="412750" cy="409575"/>
        </a:xfrm>
        <a:custGeom>
          <a:avLst/>
          <a:gdLst>
            <a:gd name="connsiteX0" fmla="*/ 19050 w 412750"/>
            <a:gd name="connsiteY0" fmla="*/ 0 h 409575"/>
            <a:gd name="connsiteX1" fmla="*/ 409575 w 412750"/>
            <a:gd name="connsiteY1" fmla="*/ 180975 h 409575"/>
            <a:gd name="connsiteX2" fmla="*/ 0 w 412750"/>
            <a:gd name="connsiteY2" fmla="*/ 409575 h 409575"/>
          </a:gdLst>
          <a:ahLst/>
          <a:cxnLst>
            <a:cxn ang="0">
              <a:pos x="connsiteX0" y="connsiteY0"/>
            </a:cxn>
            <a:cxn ang="0">
              <a:pos x="connsiteX1" y="connsiteY1"/>
            </a:cxn>
            <a:cxn ang="0">
              <a:pos x="connsiteX2" y="connsiteY2"/>
            </a:cxn>
          </a:cxnLst>
          <a:rect l="l" t="t" r="r" b="b"/>
          <a:pathLst>
            <a:path w="412750" h="409575">
              <a:moveTo>
                <a:pt x="19050" y="0"/>
              </a:moveTo>
              <a:cubicBezTo>
                <a:pt x="215900" y="56356"/>
                <a:pt x="412750" y="112713"/>
                <a:pt x="409575" y="180975"/>
              </a:cubicBezTo>
              <a:cubicBezTo>
                <a:pt x="406400" y="249237"/>
                <a:pt x="203200" y="329406"/>
                <a:pt x="0" y="409575"/>
              </a:cubicBezTo>
            </a:path>
          </a:pathLst>
        </a:cu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12</xdr:col>
      <xdr:colOff>0</xdr:colOff>
      <xdr:row>12</xdr:row>
      <xdr:rowOff>76200</xdr:rowOff>
    </xdr:from>
    <xdr:to>
      <xdr:col>13</xdr:col>
      <xdr:colOff>412750</xdr:colOff>
      <xdr:row>14</xdr:row>
      <xdr:rowOff>104775</xdr:rowOff>
    </xdr:to>
    <xdr:sp macro="" textlink="">
      <xdr:nvSpPr>
        <xdr:cNvPr id="6" name="Freeform 5"/>
        <xdr:cNvSpPr/>
      </xdr:nvSpPr>
      <xdr:spPr>
        <a:xfrm>
          <a:off x="4838700" y="2886075"/>
          <a:ext cx="412750" cy="409575"/>
        </a:xfrm>
        <a:custGeom>
          <a:avLst/>
          <a:gdLst>
            <a:gd name="connsiteX0" fmla="*/ 19050 w 412750"/>
            <a:gd name="connsiteY0" fmla="*/ 0 h 409575"/>
            <a:gd name="connsiteX1" fmla="*/ 409575 w 412750"/>
            <a:gd name="connsiteY1" fmla="*/ 180975 h 409575"/>
            <a:gd name="connsiteX2" fmla="*/ 0 w 412750"/>
            <a:gd name="connsiteY2" fmla="*/ 409575 h 409575"/>
          </a:gdLst>
          <a:ahLst/>
          <a:cxnLst>
            <a:cxn ang="0">
              <a:pos x="connsiteX0" y="connsiteY0"/>
            </a:cxn>
            <a:cxn ang="0">
              <a:pos x="connsiteX1" y="connsiteY1"/>
            </a:cxn>
            <a:cxn ang="0">
              <a:pos x="connsiteX2" y="connsiteY2"/>
            </a:cxn>
          </a:cxnLst>
          <a:rect l="l" t="t" r="r" b="b"/>
          <a:pathLst>
            <a:path w="412750" h="409575">
              <a:moveTo>
                <a:pt x="19050" y="0"/>
              </a:moveTo>
              <a:cubicBezTo>
                <a:pt x="215900" y="56356"/>
                <a:pt x="412750" y="112713"/>
                <a:pt x="409575" y="180975"/>
              </a:cubicBezTo>
              <a:cubicBezTo>
                <a:pt x="406400" y="249237"/>
                <a:pt x="203200" y="329406"/>
                <a:pt x="0" y="409575"/>
              </a:cubicBezTo>
            </a:path>
          </a:pathLst>
        </a:cu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12</xdr:col>
      <xdr:colOff>0</xdr:colOff>
      <xdr:row>14</xdr:row>
      <xdr:rowOff>85725</xdr:rowOff>
    </xdr:from>
    <xdr:to>
      <xdr:col>13</xdr:col>
      <xdr:colOff>412750</xdr:colOff>
      <xdr:row>16</xdr:row>
      <xdr:rowOff>114300</xdr:rowOff>
    </xdr:to>
    <xdr:sp macro="" textlink="">
      <xdr:nvSpPr>
        <xdr:cNvPr id="7" name="Freeform 6"/>
        <xdr:cNvSpPr/>
      </xdr:nvSpPr>
      <xdr:spPr>
        <a:xfrm>
          <a:off x="4838700" y="3276600"/>
          <a:ext cx="412750" cy="409575"/>
        </a:xfrm>
        <a:custGeom>
          <a:avLst/>
          <a:gdLst>
            <a:gd name="connsiteX0" fmla="*/ 19050 w 412750"/>
            <a:gd name="connsiteY0" fmla="*/ 0 h 409575"/>
            <a:gd name="connsiteX1" fmla="*/ 409575 w 412750"/>
            <a:gd name="connsiteY1" fmla="*/ 180975 h 409575"/>
            <a:gd name="connsiteX2" fmla="*/ 0 w 412750"/>
            <a:gd name="connsiteY2" fmla="*/ 409575 h 409575"/>
          </a:gdLst>
          <a:ahLst/>
          <a:cxnLst>
            <a:cxn ang="0">
              <a:pos x="connsiteX0" y="connsiteY0"/>
            </a:cxn>
            <a:cxn ang="0">
              <a:pos x="connsiteX1" y="connsiteY1"/>
            </a:cxn>
            <a:cxn ang="0">
              <a:pos x="connsiteX2" y="connsiteY2"/>
            </a:cxn>
          </a:cxnLst>
          <a:rect l="l" t="t" r="r" b="b"/>
          <a:pathLst>
            <a:path w="412750" h="409575">
              <a:moveTo>
                <a:pt x="19050" y="0"/>
              </a:moveTo>
              <a:cubicBezTo>
                <a:pt x="215900" y="56356"/>
                <a:pt x="412750" y="112713"/>
                <a:pt x="409575" y="180975"/>
              </a:cubicBezTo>
              <a:cubicBezTo>
                <a:pt x="406400" y="249237"/>
                <a:pt x="203200" y="329406"/>
                <a:pt x="0" y="409575"/>
              </a:cubicBezTo>
            </a:path>
          </a:pathLst>
        </a:cu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12</xdr:col>
      <xdr:colOff>0</xdr:colOff>
      <xdr:row>16</xdr:row>
      <xdr:rowOff>104775</xdr:rowOff>
    </xdr:from>
    <xdr:to>
      <xdr:col>13</xdr:col>
      <xdr:colOff>412750</xdr:colOff>
      <xdr:row>18</xdr:row>
      <xdr:rowOff>133350</xdr:rowOff>
    </xdr:to>
    <xdr:sp macro="" textlink="">
      <xdr:nvSpPr>
        <xdr:cNvPr id="8" name="Freeform 7"/>
        <xdr:cNvSpPr/>
      </xdr:nvSpPr>
      <xdr:spPr>
        <a:xfrm>
          <a:off x="4838700" y="3676650"/>
          <a:ext cx="412750" cy="409575"/>
        </a:xfrm>
        <a:custGeom>
          <a:avLst/>
          <a:gdLst>
            <a:gd name="connsiteX0" fmla="*/ 19050 w 412750"/>
            <a:gd name="connsiteY0" fmla="*/ 0 h 409575"/>
            <a:gd name="connsiteX1" fmla="*/ 409575 w 412750"/>
            <a:gd name="connsiteY1" fmla="*/ 180975 h 409575"/>
            <a:gd name="connsiteX2" fmla="*/ 0 w 412750"/>
            <a:gd name="connsiteY2" fmla="*/ 409575 h 409575"/>
          </a:gdLst>
          <a:ahLst/>
          <a:cxnLst>
            <a:cxn ang="0">
              <a:pos x="connsiteX0" y="connsiteY0"/>
            </a:cxn>
            <a:cxn ang="0">
              <a:pos x="connsiteX1" y="connsiteY1"/>
            </a:cxn>
            <a:cxn ang="0">
              <a:pos x="connsiteX2" y="connsiteY2"/>
            </a:cxn>
          </a:cxnLst>
          <a:rect l="l" t="t" r="r" b="b"/>
          <a:pathLst>
            <a:path w="412750" h="409575">
              <a:moveTo>
                <a:pt x="19050" y="0"/>
              </a:moveTo>
              <a:cubicBezTo>
                <a:pt x="215900" y="56356"/>
                <a:pt x="412750" y="112713"/>
                <a:pt x="409575" y="180975"/>
              </a:cubicBezTo>
              <a:cubicBezTo>
                <a:pt x="406400" y="249237"/>
                <a:pt x="203200" y="329406"/>
                <a:pt x="0" y="409575"/>
              </a:cubicBezTo>
            </a:path>
          </a:pathLst>
        </a:cu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13</xdr:col>
      <xdr:colOff>28575</xdr:colOff>
      <xdr:row>7</xdr:row>
      <xdr:rowOff>0</xdr:rowOff>
    </xdr:from>
    <xdr:to>
      <xdr:col>14</xdr:col>
      <xdr:colOff>66675</xdr:colOff>
      <xdr:row>10</xdr:row>
      <xdr:rowOff>47625</xdr:rowOff>
    </xdr:to>
    <xdr:cxnSp macro="">
      <xdr:nvCxnSpPr>
        <xdr:cNvPr id="10" name="Straight Arrow Connector 9"/>
        <xdr:cNvCxnSpPr>
          <a:endCxn id="5" idx="0"/>
        </xdr:cNvCxnSpPr>
      </xdr:nvCxnSpPr>
      <xdr:spPr>
        <a:xfrm flipH="1">
          <a:off x="4867275" y="1857375"/>
          <a:ext cx="914400" cy="61912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6</xdr:row>
      <xdr:rowOff>180976</xdr:rowOff>
    </xdr:from>
    <xdr:to>
      <xdr:col>32</xdr:col>
      <xdr:colOff>457200</xdr:colOff>
      <xdr:row>18</xdr:row>
      <xdr:rowOff>95250</xdr:rowOff>
    </xdr:to>
    <xdr:cxnSp macro="">
      <xdr:nvCxnSpPr>
        <xdr:cNvPr id="12" name="Straight Arrow Connector 11"/>
        <xdr:cNvCxnSpPr/>
      </xdr:nvCxnSpPr>
      <xdr:spPr>
        <a:xfrm flipH="1" flipV="1">
          <a:off x="6438900" y="1847851"/>
          <a:ext cx="4210050" cy="2200274"/>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561975</xdr:colOff>
      <xdr:row>17</xdr:row>
      <xdr:rowOff>85725</xdr:rowOff>
    </xdr:from>
    <xdr:to>
      <xdr:col>9</xdr:col>
      <xdr:colOff>361952</xdr:colOff>
      <xdr:row>18</xdr:row>
      <xdr:rowOff>76200</xdr:rowOff>
    </xdr:to>
    <xdr:cxnSp macro="">
      <xdr:nvCxnSpPr>
        <xdr:cNvPr id="16" name="Straight Arrow Connector 15"/>
        <xdr:cNvCxnSpPr/>
      </xdr:nvCxnSpPr>
      <xdr:spPr>
        <a:xfrm flipH="1" flipV="1">
          <a:off x="2495550" y="3848100"/>
          <a:ext cx="514352" cy="18097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533400</xdr:colOff>
      <xdr:row>15</xdr:row>
      <xdr:rowOff>95250</xdr:rowOff>
    </xdr:from>
    <xdr:to>
      <xdr:col>9</xdr:col>
      <xdr:colOff>333377</xdr:colOff>
      <xdr:row>16</xdr:row>
      <xdr:rowOff>85725</xdr:rowOff>
    </xdr:to>
    <xdr:cxnSp macro="">
      <xdr:nvCxnSpPr>
        <xdr:cNvPr id="26" name="Straight Arrow Connector 25"/>
        <xdr:cNvCxnSpPr/>
      </xdr:nvCxnSpPr>
      <xdr:spPr>
        <a:xfrm flipH="1" flipV="1">
          <a:off x="2466975" y="3476625"/>
          <a:ext cx="514352" cy="18097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571500</xdr:colOff>
      <xdr:row>13</xdr:row>
      <xdr:rowOff>104775</xdr:rowOff>
    </xdr:from>
    <xdr:to>
      <xdr:col>9</xdr:col>
      <xdr:colOff>371477</xdr:colOff>
      <xdr:row>14</xdr:row>
      <xdr:rowOff>95250</xdr:rowOff>
    </xdr:to>
    <xdr:cxnSp macro="">
      <xdr:nvCxnSpPr>
        <xdr:cNvPr id="27" name="Straight Arrow Connector 26"/>
        <xdr:cNvCxnSpPr/>
      </xdr:nvCxnSpPr>
      <xdr:spPr>
        <a:xfrm flipH="1" flipV="1">
          <a:off x="2505075" y="3105150"/>
          <a:ext cx="514352" cy="18097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542925</xdr:colOff>
      <xdr:row>11</xdr:row>
      <xdr:rowOff>114300</xdr:rowOff>
    </xdr:from>
    <xdr:to>
      <xdr:col>9</xdr:col>
      <xdr:colOff>342902</xdr:colOff>
      <xdr:row>12</xdr:row>
      <xdr:rowOff>104775</xdr:rowOff>
    </xdr:to>
    <xdr:cxnSp macro="">
      <xdr:nvCxnSpPr>
        <xdr:cNvPr id="28" name="Straight Arrow Connector 27"/>
        <xdr:cNvCxnSpPr/>
      </xdr:nvCxnSpPr>
      <xdr:spPr>
        <a:xfrm flipH="1" flipV="1">
          <a:off x="2476500" y="2733675"/>
          <a:ext cx="514352" cy="18097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381000</xdr:colOff>
      <xdr:row>6</xdr:row>
      <xdr:rowOff>95250</xdr:rowOff>
    </xdr:from>
    <xdr:to>
      <xdr:col>13</xdr:col>
      <xdr:colOff>19050</xdr:colOff>
      <xdr:row>10</xdr:row>
      <xdr:rowOff>152401</xdr:rowOff>
    </xdr:to>
    <xdr:cxnSp macro="">
      <xdr:nvCxnSpPr>
        <xdr:cNvPr id="30" name="Straight Arrow Connector 29"/>
        <xdr:cNvCxnSpPr/>
      </xdr:nvCxnSpPr>
      <xdr:spPr>
        <a:xfrm flipV="1">
          <a:off x="2314575" y="1762125"/>
          <a:ext cx="2543175" cy="819151"/>
        </a:xfrm>
        <a:prstGeom prst="straightConnector1">
          <a:avLst/>
        </a:prstGeom>
        <a:ln w="28575">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295277</xdr:colOff>
      <xdr:row>6</xdr:row>
      <xdr:rowOff>28576</xdr:rowOff>
    </xdr:from>
    <xdr:to>
      <xdr:col>7</xdr:col>
      <xdr:colOff>304800</xdr:colOff>
      <xdr:row>25</xdr:row>
      <xdr:rowOff>123825</xdr:rowOff>
    </xdr:to>
    <xdr:cxnSp macro="">
      <xdr:nvCxnSpPr>
        <xdr:cNvPr id="2" name="Straight Arrow Connector 1"/>
        <xdr:cNvCxnSpPr/>
      </xdr:nvCxnSpPr>
      <xdr:spPr>
        <a:xfrm flipH="1" flipV="1">
          <a:off x="4933952" y="600076"/>
          <a:ext cx="9523" cy="3714749"/>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295275</xdr:colOff>
      <xdr:row>6</xdr:row>
      <xdr:rowOff>28575</xdr:rowOff>
    </xdr:from>
    <xdr:to>
      <xdr:col>7</xdr:col>
      <xdr:colOff>304800</xdr:colOff>
      <xdr:row>21</xdr:row>
      <xdr:rowOff>9525</xdr:rowOff>
    </xdr:to>
    <xdr:cxnSp macro="">
      <xdr:nvCxnSpPr>
        <xdr:cNvPr id="3" name="Straight Arrow Connector 2"/>
        <xdr:cNvCxnSpPr/>
      </xdr:nvCxnSpPr>
      <xdr:spPr>
        <a:xfrm flipH="1" flipV="1">
          <a:off x="3695700" y="600075"/>
          <a:ext cx="9525" cy="283845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dragonplate.com/ecart/product.asp?pID=5198&amp;cID=196" TargetMode="External"/><Relationship Id="rId13" Type="http://schemas.openxmlformats.org/officeDocument/2006/relationships/printerSettings" Target="../printerSettings/printerSettings2.bin"/><Relationship Id="rId3" Type="http://schemas.openxmlformats.org/officeDocument/2006/relationships/hyperlink" Target="http://dragonplate.com/ecart/product.asp?pID=6137&amp;cID=196" TargetMode="External"/><Relationship Id="rId7" Type="http://schemas.openxmlformats.org/officeDocument/2006/relationships/hyperlink" Target="http://dragonplate.com/ecart/product.asp?pID=5197&amp;cID=196" TargetMode="External"/><Relationship Id="rId12" Type="http://schemas.openxmlformats.org/officeDocument/2006/relationships/hyperlink" Target="http://dragonplate.com/ecart/product.asp?pID=5869&amp;cID=277" TargetMode="External"/><Relationship Id="rId2" Type="http://schemas.openxmlformats.org/officeDocument/2006/relationships/hyperlink" Target="http://dragonplate.com/ecart/product.asp?pID=6136&amp;cID=196" TargetMode="External"/><Relationship Id="rId1" Type="http://schemas.openxmlformats.org/officeDocument/2006/relationships/hyperlink" Target="http://dragonplate.com/ecart/product.asp?pID=6212&amp;cID=278" TargetMode="External"/><Relationship Id="rId6" Type="http://schemas.openxmlformats.org/officeDocument/2006/relationships/hyperlink" Target="http://dragonplate.com/ecart/product.asp?pID=5173&amp;cID=196" TargetMode="External"/><Relationship Id="rId11" Type="http://schemas.openxmlformats.org/officeDocument/2006/relationships/hyperlink" Target="http://dragonplate.com/ecart/product.asp?pID=5713&amp;cID=196" TargetMode="External"/><Relationship Id="rId5" Type="http://schemas.openxmlformats.org/officeDocument/2006/relationships/hyperlink" Target="http://dragonplate.com/ecart/product.asp?pID=5172&amp;cID=196" TargetMode="External"/><Relationship Id="rId15" Type="http://schemas.openxmlformats.org/officeDocument/2006/relationships/vmlDrawing" Target="../drawings/vmlDrawing1.vml"/><Relationship Id="rId10" Type="http://schemas.openxmlformats.org/officeDocument/2006/relationships/hyperlink" Target="http://dragonplate.com/ecart/product.asp?pID=5712&amp;cID=196" TargetMode="External"/><Relationship Id="rId4" Type="http://schemas.openxmlformats.org/officeDocument/2006/relationships/hyperlink" Target="http://dragonplate.com/ecart/product.asp?pID=5171&amp;cID=196" TargetMode="External"/><Relationship Id="rId9" Type="http://schemas.openxmlformats.org/officeDocument/2006/relationships/hyperlink" Target="http://dragonplate.com/ecart/product.asp?pID=5199&amp;cID=196"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dragonplate.com/ecart/product.asp?pID=5198&amp;cID=196" TargetMode="External"/><Relationship Id="rId13" Type="http://schemas.openxmlformats.org/officeDocument/2006/relationships/printerSettings" Target="../printerSettings/printerSettings3.bin"/><Relationship Id="rId3" Type="http://schemas.openxmlformats.org/officeDocument/2006/relationships/hyperlink" Target="http://dragonplate.com/ecart/product.asp?pID=6137&amp;cID=196" TargetMode="External"/><Relationship Id="rId7" Type="http://schemas.openxmlformats.org/officeDocument/2006/relationships/hyperlink" Target="http://dragonplate.com/ecart/product.asp?pID=5197&amp;cID=196" TargetMode="External"/><Relationship Id="rId12" Type="http://schemas.openxmlformats.org/officeDocument/2006/relationships/hyperlink" Target="http://dragonplate.com/ecart/product.asp?pID=5869&amp;cID=277" TargetMode="External"/><Relationship Id="rId2" Type="http://schemas.openxmlformats.org/officeDocument/2006/relationships/hyperlink" Target="http://dragonplate.com/ecart/product.asp?pID=6136&amp;cID=196" TargetMode="External"/><Relationship Id="rId1" Type="http://schemas.openxmlformats.org/officeDocument/2006/relationships/hyperlink" Target="http://dragonplate.com/ecart/product.asp?pID=6212&amp;cID=278" TargetMode="External"/><Relationship Id="rId6" Type="http://schemas.openxmlformats.org/officeDocument/2006/relationships/hyperlink" Target="http://dragonplate.com/ecart/product.asp?pID=5173&amp;cID=196" TargetMode="External"/><Relationship Id="rId11" Type="http://schemas.openxmlformats.org/officeDocument/2006/relationships/hyperlink" Target="http://dragonplate.com/ecart/product.asp?pID=5713&amp;cID=196" TargetMode="External"/><Relationship Id="rId5" Type="http://schemas.openxmlformats.org/officeDocument/2006/relationships/hyperlink" Target="http://dragonplate.com/ecart/product.asp?pID=5172&amp;cID=196" TargetMode="External"/><Relationship Id="rId15" Type="http://schemas.openxmlformats.org/officeDocument/2006/relationships/vmlDrawing" Target="../drawings/vmlDrawing2.vml"/><Relationship Id="rId10" Type="http://schemas.openxmlformats.org/officeDocument/2006/relationships/hyperlink" Target="http://dragonplate.com/ecart/product.asp?pID=5712&amp;cID=196" TargetMode="External"/><Relationship Id="rId4" Type="http://schemas.openxmlformats.org/officeDocument/2006/relationships/hyperlink" Target="http://dragonplate.com/ecart/product.asp?pID=5171&amp;cID=196" TargetMode="External"/><Relationship Id="rId9" Type="http://schemas.openxmlformats.org/officeDocument/2006/relationships/hyperlink" Target="http://dragonplate.com/ecart/product.asp?pID=5199&amp;cID=196"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dimension ref="A1:H37"/>
  <sheetViews>
    <sheetView tabSelected="1" workbookViewId="0">
      <selection activeCell="M11" sqref="M11"/>
    </sheetView>
  </sheetViews>
  <sheetFormatPr defaultRowHeight="15"/>
  <cols>
    <col min="1" max="1" width="3.7109375" customWidth="1"/>
    <col min="3" max="3" width="4.5703125" customWidth="1"/>
    <col min="4" max="4" width="44.140625" customWidth="1"/>
  </cols>
  <sheetData>
    <row r="1" spans="1:8" s="34" customFormat="1" ht="82.5" customHeight="1">
      <c r="A1" s="73"/>
      <c r="B1" s="73"/>
      <c r="C1" s="73"/>
      <c r="D1" s="73"/>
      <c r="E1" s="73"/>
      <c r="F1" s="73"/>
      <c r="G1" s="73"/>
      <c r="H1" s="73"/>
    </row>
    <row r="2" spans="1:8" s="34" customFormat="1" ht="35.25" customHeight="1" thickBot="1">
      <c r="A2" s="75" t="s">
        <v>201</v>
      </c>
      <c r="B2" s="74"/>
      <c r="C2" s="74"/>
      <c r="D2" s="74"/>
      <c r="E2" s="74"/>
      <c r="F2" s="74"/>
      <c r="G2" s="74"/>
      <c r="H2" s="74"/>
    </row>
    <row r="3" spans="1:8">
      <c r="A3" s="67" t="s">
        <v>138</v>
      </c>
      <c r="B3" s="68"/>
      <c r="C3" s="68"/>
      <c r="D3" s="68"/>
      <c r="E3" s="68"/>
      <c r="F3" s="68"/>
      <c r="G3" s="68"/>
      <c r="H3" s="69"/>
    </row>
    <row r="4" spans="1:8" ht="15.75" thickBot="1">
      <c r="A4" s="70"/>
      <c r="B4" s="71"/>
      <c r="C4" s="71"/>
      <c r="D4" s="71"/>
      <c r="E4" s="71"/>
      <c r="F4" s="71"/>
      <c r="G4" s="71"/>
      <c r="H4" s="72"/>
    </row>
    <row r="6" spans="1:8">
      <c r="A6" s="36">
        <v>1</v>
      </c>
      <c r="B6" s="33" t="s">
        <v>139</v>
      </c>
      <c r="C6" s="34"/>
      <c r="D6" s="34"/>
    </row>
    <row r="7" spans="1:8">
      <c r="A7" s="33"/>
      <c r="B7" s="34"/>
      <c r="C7" s="33" t="s">
        <v>140</v>
      </c>
      <c r="D7" s="34" t="s">
        <v>141</v>
      </c>
    </row>
    <row r="8" spans="1:8">
      <c r="A8" s="33"/>
      <c r="B8" s="34"/>
      <c r="C8" s="33" t="s">
        <v>142</v>
      </c>
      <c r="D8" s="34" t="s">
        <v>143</v>
      </c>
    </row>
    <row r="9" spans="1:8">
      <c r="A9" s="33"/>
    </row>
    <row r="10" spans="1:8">
      <c r="A10" s="36">
        <v>2</v>
      </c>
      <c r="B10" s="33" t="s">
        <v>144</v>
      </c>
      <c r="C10" s="34"/>
      <c r="D10" s="34"/>
    </row>
    <row r="11" spans="1:8">
      <c r="A11" s="33"/>
      <c r="B11" s="34"/>
      <c r="C11" s="33" t="s">
        <v>140</v>
      </c>
      <c r="D11" s="34" t="s">
        <v>145</v>
      </c>
    </row>
    <row r="12" spans="1:8">
      <c r="A12" s="33"/>
      <c r="B12" s="34"/>
      <c r="C12" s="33" t="s">
        <v>142</v>
      </c>
      <c r="D12" s="34" t="s">
        <v>146</v>
      </c>
    </row>
    <row r="13" spans="1:8">
      <c r="A13" s="33"/>
      <c r="B13" s="34"/>
      <c r="C13" s="33" t="s">
        <v>147</v>
      </c>
      <c r="D13" s="34" t="s">
        <v>148</v>
      </c>
    </row>
    <row r="14" spans="1:8">
      <c r="A14" s="33"/>
    </row>
    <row r="15" spans="1:8">
      <c r="A15" s="36">
        <v>3</v>
      </c>
      <c r="B15" s="33" t="s">
        <v>149</v>
      </c>
      <c r="C15" s="34"/>
      <c r="D15" s="34"/>
    </row>
    <row r="16" spans="1:8">
      <c r="A16" s="33"/>
      <c r="B16" s="34"/>
      <c r="C16" s="33" t="s">
        <v>140</v>
      </c>
      <c r="D16" s="34" t="s">
        <v>150</v>
      </c>
    </row>
    <row r="17" spans="1:4">
      <c r="A17" s="33"/>
      <c r="B17" s="34"/>
      <c r="C17" s="33"/>
      <c r="D17" s="34" t="s">
        <v>151</v>
      </c>
    </row>
    <row r="18" spans="1:4">
      <c r="A18" s="33"/>
      <c r="B18" s="34"/>
      <c r="C18" s="33" t="s">
        <v>142</v>
      </c>
      <c r="D18" s="34" t="s">
        <v>152</v>
      </c>
    </row>
    <row r="19" spans="1:4">
      <c r="A19" s="33"/>
      <c r="B19" s="34"/>
      <c r="C19" s="33"/>
      <c r="D19" s="34" t="s">
        <v>153</v>
      </c>
    </row>
    <row r="20" spans="1:4">
      <c r="A20" s="33"/>
      <c r="B20" s="34"/>
      <c r="C20" s="33" t="s">
        <v>147</v>
      </c>
      <c r="D20" s="34" t="s">
        <v>154</v>
      </c>
    </row>
    <row r="21" spans="1:4">
      <c r="A21" s="33"/>
      <c r="B21" s="34"/>
      <c r="C21" s="33"/>
      <c r="D21" s="34" t="s">
        <v>155</v>
      </c>
    </row>
    <row r="22" spans="1:4">
      <c r="A22" s="33"/>
      <c r="B22" s="34"/>
      <c r="C22" s="33" t="s">
        <v>156</v>
      </c>
      <c r="D22" s="34" t="s">
        <v>157</v>
      </c>
    </row>
    <row r="23" spans="1:4">
      <c r="A23" s="33"/>
      <c r="B23" s="34"/>
      <c r="C23" s="33"/>
      <c r="D23" s="34" t="s">
        <v>158</v>
      </c>
    </row>
    <row r="24" spans="1:4">
      <c r="A24" s="33"/>
    </row>
    <row r="25" spans="1:4">
      <c r="A25" s="36">
        <v>4</v>
      </c>
      <c r="B25" s="33" t="s">
        <v>159</v>
      </c>
      <c r="C25" s="34"/>
      <c r="D25" s="34"/>
    </row>
    <row r="26" spans="1:4">
      <c r="A26" s="33"/>
      <c r="B26" s="34"/>
      <c r="C26" s="33" t="s">
        <v>140</v>
      </c>
      <c r="D26" s="34" t="s">
        <v>160</v>
      </c>
    </row>
    <row r="27" spans="1:4">
      <c r="A27" s="33"/>
      <c r="B27" s="34"/>
      <c r="C27" s="33"/>
      <c r="D27" s="34" t="s">
        <v>161</v>
      </c>
    </row>
    <row r="28" spans="1:4">
      <c r="A28" s="33"/>
      <c r="B28" s="34"/>
      <c r="C28" s="33" t="s">
        <v>142</v>
      </c>
      <c r="D28" s="34" t="s">
        <v>162</v>
      </c>
    </row>
    <row r="29" spans="1:4">
      <c r="A29" s="33"/>
      <c r="B29" s="34"/>
      <c r="C29" s="33" t="s">
        <v>147</v>
      </c>
      <c r="D29" s="34" t="s">
        <v>163</v>
      </c>
    </row>
    <row r="30" spans="1:4">
      <c r="A30" s="34"/>
      <c r="B30" s="34"/>
      <c r="C30" s="33"/>
      <c r="D30" s="34" t="s">
        <v>164</v>
      </c>
    </row>
    <row r="31" spans="1:4">
      <c r="A31" s="34"/>
      <c r="B31" s="34"/>
      <c r="C31" s="33" t="s">
        <v>156</v>
      </c>
      <c r="D31" s="34" t="s">
        <v>165</v>
      </c>
    </row>
    <row r="32" spans="1:4">
      <c r="A32" s="34"/>
      <c r="B32" s="34"/>
      <c r="C32" s="33" t="s">
        <v>166</v>
      </c>
      <c r="D32" s="34" t="s">
        <v>167</v>
      </c>
    </row>
    <row r="33" spans="1:4">
      <c r="A33" s="34"/>
      <c r="B33" s="34"/>
      <c r="C33" s="33"/>
      <c r="D33" s="34" t="s">
        <v>168</v>
      </c>
    </row>
    <row r="34" spans="1:4">
      <c r="A34" s="34"/>
      <c r="B34" s="34"/>
      <c r="C34" s="33"/>
      <c r="D34" s="34" t="s">
        <v>169</v>
      </c>
    </row>
    <row r="35" spans="1:4">
      <c r="A35" s="34"/>
      <c r="B35" s="34"/>
      <c r="C35" s="33" t="s">
        <v>170</v>
      </c>
      <c r="D35" s="34" t="s">
        <v>171</v>
      </c>
    </row>
    <row r="36" spans="1:4">
      <c r="A36" s="34"/>
      <c r="B36" s="34"/>
      <c r="C36" s="33"/>
      <c r="D36" s="34" t="s">
        <v>172</v>
      </c>
    </row>
    <row r="37" spans="1:4">
      <c r="D37" s="34" t="s">
        <v>173</v>
      </c>
    </row>
  </sheetData>
  <mergeCells count="3">
    <mergeCell ref="A3:H4"/>
    <mergeCell ref="A2:H2"/>
    <mergeCell ref="A1:H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Sheet3"/>
  <dimension ref="A1:AH31"/>
  <sheetViews>
    <sheetView topLeftCell="F1" workbookViewId="0">
      <selection activeCell="R18" sqref="R18"/>
    </sheetView>
  </sheetViews>
  <sheetFormatPr defaultRowHeight="15"/>
  <cols>
    <col min="1" max="1" width="0" style="34" hidden="1" customWidth="1"/>
    <col min="2" max="2" width="9.140625" style="34" hidden="1" customWidth="1"/>
    <col min="3" max="3" width="10.7109375" style="34" hidden="1" customWidth="1"/>
    <col min="4" max="4" width="6.85546875" style="34" hidden="1" customWidth="1"/>
    <col min="5" max="5" width="8.42578125" style="34" hidden="1" customWidth="1"/>
    <col min="6" max="7" width="9.140625" style="34"/>
    <col min="8" max="8" width="10.7109375" style="34" bestFit="1" customWidth="1"/>
    <col min="9" max="9" width="10.7109375" style="34" customWidth="1"/>
    <col min="10" max="11" width="11.85546875" style="34" customWidth="1"/>
    <col min="12" max="12" width="9.140625" style="34"/>
    <col min="13" max="13" width="9.140625" style="34" hidden="1" customWidth="1"/>
    <col min="14" max="14" width="13.140625" style="34" customWidth="1"/>
    <col min="15" max="15" width="10.7109375" style="34" customWidth="1"/>
    <col min="16" max="16" width="11.85546875" style="34" bestFit="1" customWidth="1"/>
    <col min="17" max="17" width="14.42578125" style="34" bestFit="1" customWidth="1"/>
    <col min="18" max="18" width="14.5703125" style="34" customWidth="1"/>
    <col min="19" max="19" width="9.140625" style="34" customWidth="1"/>
    <col min="20" max="22" width="9.140625" style="34" hidden="1" customWidth="1"/>
    <col min="23" max="23" width="7.140625" style="34" hidden="1" customWidth="1"/>
    <col min="24" max="24" width="9.140625" style="12" hidden="1" customWidth="1"/>
    <col min="25" max="30" width="0" style="12" hidden="1" customWidth="1"/>
    <col min="31" max="31" width="41.140625" style="12" hidden="1" customWidth="1"/>
    <col min="32" max="32" width="6.42578125" style="34" customWidth="1"/>
    <col min="33" max="16384" width="9.140625" style="34"/>
  </cols>
  <sheetData>
    <row r="1" spans="1:34" ht="15" customHeight="1">
      <c r="F1" s="43" t="s">
        <v>53</v>
      </c>
      <c r="G1" s="44"/>
      <c r="H1" s="44"/>
      <c r="I1" s="44"/>
      <c r="J1" s="44"/>
      <c r="K1" s="44"/>
      <c r="L1" s="44"/>
      <c r="M1" s="44"/>
      <c r="N1" s="44"/>
      <c r="O1" s="44"/>
      <c r="P1" s="44"/>
      <c r="Q1" s="44"/>
      <c r="R1" s="45"/>
      <c r="X1" s="34"/>
    </row>
    <row r="2" spans="1:34" ht="15.75" customHeight="1">
      <c r="F2" s="46"/>
      <c r="G2" s="47"/>
      <c r="H2" s="47"/>
      <c r="I2" s="47"/>
      <c r="J2" s="47"/>
      <c r="K2" s="47"/>
      <c r="L2" s="47"/>
      <c r="M2" s="47"/>
      <c r="N2" s="47"/>
      <c r="O2" s="47"/>
      <c r="P2" s="47"/>
      <c r="Q2" s="47"/>
      <c r="R2" s="48"/>
      <c r="X2" s="34"/>
    </row>
    <row r="3" spans="1:34">
      <c r="F3" s="46"/>
      <c r="G3" s="47"/>
      <c r="H3" s="47"/>
      <c r="I3" s="47"/>
      <c r="J3" s="47"/>
      <c r="K3" s="47"/>
      <c r="L3" s="47"/>
      <c r="M3" s="47"/>
      <c r="N3" s="47"/>
      <c r="O3" s="47"/>
      <c r="P3" s="47"/>
      <c r="Q3" s="47"/>
      <c r="R3" s="48"/>
      <c r="X3" s="34"/>
    </row>
    <row r="4" spans="1:34" ht="25.5" customHeight="1" thickBot="1">
      <c r="F4" s="49"/>
      <c r="G4" s="50"/>
      <c r="H4" s="50"/>
      <c r="I4" s="50"/>
      <c r="J4" s="50"/>
      <c r="K4" s="50"/>
      <c r="L4" s="50"/>
      <c r="M4" s="50"/>
      <c r="N4" s="50"/>
      <c r="O4" s="50"/>
      <c r="P4" s="50"/>
      <c r="Q4" s="50"/>
      <c r="R4" s="51"/>
      <c r="X4" s="34"/>
    </row>
    <row r="5" spans="1:34">
      <c r="B5" s="14" t="s">
        <v>0</v>
      </c>
      <c r="C5" s="1"/>
      <c r="D5" s="1"/>
      <c r="I5" s="1" t="s">
        <v>21</v>
      </c>
      <c r="J5" s="1"/>
      <c r="K5" s="8"/>
      <c r="Y5" s="52" t="s">
        <v>55</v>
      </c>
      <c r="Z5" s="52"/>
      <c r="AA5" s="52"/>
      <c r="AB5" s="52" t="s">
        <v>56</v>
      </c>
      <c r="AC5" s="52"/>
      <c r="AD5" s="52"/>
    </row>
    <row r="6" spans="1:34" ht="45">
      <c r="A6" s="2" t="s">
        <v>9</v>
      </c>
      <c r="B6" s="2" t="s">
        <v>13</v>
      </c>
      <c r="C6" s="2" t="s">
        <v>10</v>
      </c>
      <c r="D6" s="2" t="s">
        <v>11</v>
      </c>
      <c r="G6" s="4" t="s">
        <v>24</v>
      </c>
      <c r="I6" s="7" t="s">
        <v>29</v>
      </c>
      <c r="J6" s="6" t="s">
        <v>28</v>
      </c>
      <c r="K6" s="9" t="s">
        <v>30</v>
      </c>
      <c r="L6" s="8" t="s">
        <v>27</v>
      </c>
      <c r="M6" s="8" t="s">
        <v>38</v>
      </c>
      <c r="N6" s="23" t="s">
        <v>54</v>
      </c>
      <c r="O6" s="9" t="s">
        <v>46</v>
      </c>
      <c r="P6" s="22" t="s">
        <v>40</v>
      </c>
      <c r="Q6" s="1" t="s">
        <v>25</v>
      </c>
      <c r="R6" s="1" t="s">
        <v>26</v>
      </c>
      <c r="T6" s="34">
        <v>24</v>
      </c>
      <c r="U6" s="34">
        <v>48</v>
      </c>
      <c r="V6" s="34">
        <v>96</v>
      </c>
      <c r="Y6" s="27">
        <v>24</v>
      </c>
      <c r="Z6" s="27">
        <v>48</v>
      </c>
      <c r="AA6" s="28">
        <v>96</v>
      </c>
      <c r="AB6" s="27">
        <v>24</v>
      </c>
      <c r="AC6" s="27">
        <v>48</v>
      </c>
      <c r="AD6" s="27">
        <v>96</v>
      </c>
      <c r="AF6" s="1" t="s">
        <v>174</v>
      </c>
    </row>
    <row r="7" spans="1:34">
      <c r="A7" s="34">
        <v>11</v>
      </c>
      <c r="B7" s="34" t="s">
        <v>36</v>
      </c>
      <c r="C7" s="34">
        <f>Sheet1!G2</f>
        <v>0.25800000000000006</v>
      </c>
      <c r="D7" s="34">
        <v>0.93</v>
      </c>
      <c r="E7" s="34">
        <f t="shared" ref="E7:E25" si="0">IF(I8=TRUE,1,0)</f>
        <v>0</v>
      </c>
      <c r="I7" s="20"/>
      <c r="J7" s="5"/>
      <c r="K7" s="5">
        <f>IF(J7=0,0,J7+$O$7)</f>
        <v>0</v>
      </c>
      <c r="L7" s="37">
        <v>0.5</v>
      </c>
      <c r="M7" s="10">
        <f>IF(K7=0,0,(IF(K7&lt;24,T7,IF(K7&lt;48,U7,IF(K7&gt;72,"Error",V7)))))</f>
        <v>0</v>
      </c>
      <c r="N7" s="10" t="s">
        <v>55</v>
      </c>
      <c r="O7" s="15">
        <v>3</v>
      </c>
      <c r="P7" s="17">
        <f>SUM(K7:K27)</f>
        <v>120</v>
      </c>
      <c r="Q7" s="17">
        <f>SUM(J7:J27)+SUMPRODUCT(I8:I26,C7:C25)</f>
        <v>108</v>
      </c>
      <c r="R7" s="17">
        <f>MAX(J7:J27)+SUMPRODUCT(E7:E25,C7:C25)</f>
        <v>26.15</v>
      </c>
      <c r="S7" s="12" t="s">
        <v>44</v>
      </c>
      <c r="T7" s="11">
        <v>23.75</v>
      </c>
      <c r="U7" s="11">
        <v>42.5</v>
      </c>
      <c r="V7" s="11">
        <v>57</v>
      </c>
      <c r="W7" s="34" t="s">
        <v>55</v>
      </c>
      <c r="X7" s="24" t="s">
        <v>57</v>
      </c>
      <c r="Y7" s="32" t="s">
        <v>111</v>
      </c>
      <c r="Z7" s="12" t="s">
        <v>112</v>
      </c>
      <c r="AA7" s="12" t="s">
        <v>113</v>
      </c>
      <c r="AB7" s="31" t="s">
        <v>68</v>
      </c>
      <c r="AC7" s="29" t="s">
        <v>69</v>
      </c>
      <c r="AD7" s="26" t="s">
        <v>70</v>
      </c>
      <c r="AE7" s="12">
        <f>IF(K7=0,0,(IF($N$7="twill",IF(K7&lt;24,#REF!,IF(K7&lt;48,#REF!,IF(K7&gt;72,"Error",#REF!))),IF($N$7="uni",IF(K7&lt;24,AB7,IF(K7&lt;48,AC7,IF(K7&gt;72,"Error",AD7))),""))))</f>
        <v>0</v>
      </c>
      <c r="AF7" s="36">
        <v>1</v>
      </c>
      <c r="AG7" t="s">
        <v>175</v>
      </c>
    </row>
    <row r="8" spans="1:34">
      <c r="E8" s="34">
        <f t="shared" si="0"/>
        <v>0</v>
      </c>
      <c r="H8" s="34" t="s">
        <v>36</v>
      </c>
      <c r="I8" s="21" t="b">
        <v>0</v>
      </c>
      <c r="M8" s="10">
        <f>8*I8</f>
        <v>0</v>
      </c>
      <c r="N8" s="10"/>
      <c r="P8" s="17">
        <f>P7/12</f>
        <v>10</v>
      </c>
      <c r="Q8" s="17">
        <f t="shared" ref="Q8:R8" si="1">Q7/12</f>
        <v>9</v>
      </c>
      <c r="R8" s="17">
        <f t="shared" si="1"/>
        <v>2.1791666666666667</v>
      </c>
      <c r="S8" s="12" t="s">
        <v>45</v>
      </c>
      <c r="T8" s="11">
        <v>26</v>
      </c>
      <c r="U8" s="11">
        <v>47</v>
      </c>
      <c r="V8" s="11">
        <v>84</v>
      </c>
      <c r="W8" s="34" t="s">
        <v>56</v>
      </c>
      <c r="AA8" s="53" t="s">
        <v>101</v>
      </c>
      <c r="AB8" s="52"/>
      <c r="AE8" s="12" t="str">
        <f>IF(I8=TRUE,AA8,"")</f>
        <v/>
      </c>
      <c r="AF8" s="33"/>
    </row>
    <row r="9" spans="1:34">
      <c r="A9" s="34">
        <v>12</v>
      </c>
      <c r="B9" s="34" t="s">
        <v>37</v>
      </c>
      <c r="C9" s="34">
        <f>Sheet1!G3</f>
        <v>0.33900000000000008</v>
      </c>
      <c r="D9" s="34">
        <v>1.1100000000000001</v>
      </c>
      <c r="E9" s="34">
        <f t="shared" si="0"/>
        <v>0</v>
      </c>
      <c r="I9" s="20"/>
      <c r="J9" s="5"/>
      <c r="K9" s="5">
        <f>IF(I10=TRUE,J9+$O$7,J9)</f>
        <v>0</v>
      </c>
      <c r="L9" s="37">
        <v>0.625</v>
      </c>
      <c r="M9" s="10">
        <f>IF(K9=0,0,(IF(K9&lt;24,T8,IF(K9&lt;48,U8,IF(K9&gt;96,"Error",V8)))))</f>
        <v>0</v>
      </c>
      <c r="N9" s="10"/>
      <c r="X9" s="12" t="s">
        <v>58</v>
      </c>
      <c r="Y9" s="12" t="s">
        <v>114</v>
      </c>
      <c r="Z9" s="12" t="s">
        <v>115</v>
      </c>
      <c r="AA9" s="12" t="s">
        <v>116</v>
      </c>
      <c r="AB9" s="30" t="s">
        <v>71</v>
      </c>
      <c r="AC9" s="12" t="s">
        <v>72</v>
      </c>
      <c r="AD9" s="25" t="s">
        <v>73</v>
      </c>
      <c r="AE9" s="12">
        <f>IF(K9=0,0,(IF($N$7="twill",IF(K9&lt;24,#REF!,IF(K9&lt;48,#REF!,IF(K9&gt;72,"Error",#REF!))),IF($N$7="uni",IF(K9&lt;24,#REF!,IF(K9&lt;48,#REF!,IF(K9&gt;72,"Error",#REF!))),""))))</f>
        <v>0</v>
      </c>
      <c r="AF9" s="36">
        <v>2</v>
      </c>
      <c r="AG9" t="s">
        <v>176</v>
      </c>
    </row>
    <row r="10" spans="1:34">
      <c r="E10" s="34">
        <f t="shared" si="0"/>
        <v>0</v>
      </c>
      <c r="H10" s="34" t="s">
        <v>37</v>
      </c>
      <c r="I10" s="21"/>
      <c r="M10" s="10">
        <f>I10*9.5</f>
        <v>0</v>
      </c>
      <c r="N10" s="10"/>
      <c r="O10" s="54" t="str">
        <f>IF(SUM(J7:J27)=0,"",IF(MAX(K7:K27)&gt;MAX(J7:J27),"ERROR:  CHECK TUBE LENGTHS.  ACTUAL TUBE LENGTH LONGER THAN BASE TUBE",""))</f>
        <v/>
      </c>
      <c r="P10" s="54"/>
      <c r="Q10" s="54"/>
      <c r="R10" s="1" t="s">
        <v>39</v>
      </c>
      <c r="T10" s="11">
        <v>32.75</v>
      </c>
      <c r="U10" s="11">
        <v>60.5</v>
      </c>
      <c r="V10" s="11">
        <v>111</v>
      </c>
      <c r="AA10" s="55" t="s">
        <v>102</v>
      </c>
      <c r="AB10" s="56"/>
      <c r="AE10" s="12" t="str">
        <f>IF(I10=TRUE,AA10,"")</f>
        <v/>
      </c>
      <c r="AF10" s="33"/>
      <c r="AG10" s="13" t="s">
        <v>177</v>
      </c>
    </row>
    <row r="11" spans="1:34">
      <c r="A11" s="34">
        <v>1</v>
      </c>
      <c r="B11" s="34" t="s">
        <v>1</v>
      </c>
      <c r="C11" s="34">
        <f>Sheet1!G4</f>
        <v>0.41800000000000004</v>
      </c>
      <c r="D11" s="34">
        <v>1.28</v>
      </c>
      <c r="E11" s="34">
        <f t="shared" si="0"/>
        <v>1</v>
      </c>
      <c r="I11" s="20"/>
      <c r="J11" s="5">
        <v>21</v>
      </c>
      <c r="K11" s="5">
        <f>IF(I12=TRUE,J11+$O$7,J11)</f>
        <v>24</v>
      </c>
      <c r="L11" s="37">
        <v>0.75</v>
      </c>
      <c r="M11" s="10">
        <f>IF(K11=0,0,(IF(K11&lt;24,T10,IF(K11&lt;48,U10,IF(K11&gt;96,"Error",V10)))))</f>
        <v>60.5</v>
      </c>
      <c r="N11" s="10"/>
      <c r="O11" s="54"/>
      <c r="P11" s="54"/>
      <c r="Q11" s="54"/>
      <c r="R11" s="18">
        <f>SUM(M7:M27)</f>
        <v>462.75</v>
      </c>
      <c r="X11" s="12" t="s">
        <v>59</v>
      </c>
      <c r="Y11" s="12" t="s">
        <v>117</v>
      </c>
      <c r="Z11" s="12" t="s">
        <v>118</v>
      </c>
      <c r="AA11" s="25" t="s">
        <v>119</v>
      </c>
      <c r="AB11" s="12" t="s">
        <v>74</v>
      </c>
      <c r="AC11" s="12" t="s">
        <v>75</v>
      </c>
      <c r="AD11" s="12" t="s">
        <v>76</v>
      </c>
      <c r="AE11" s="12" t="str">
        <f>IF(K11=0,0,(IF($N$7="twill",IF(K11&lt;24,AB11,IF(K11&lt;48,AC11,IF(K11&gt;72,"Error",AD11))),IF($N$7="uni",IF(K11&lt;24,Y11,IF(K11&lt;48,Z11,IF(K11&gt;72,"Error",AA11))),""))))</f>
        <v>http://dragonplate.com/ecart/product.asp?pID=4854&amp;cID=277</v>
      </c>
      <c r="AF11" s="33"/>
    </row>
    <row r="12" spans="1:34">
      <c r="E12" s="34">
        <f t="shared" si="0"/>
        <v>0</v>
      </c>
      <c r="H12" s="34" t="s">
        <v>1</v>
      </c>
      <c r="I12" s="21" t="b">
        <v>1</v>
      </c>
      <c r="M12" s="10">
        <f>I12*11</f>
        <v>11</v>
      </c>
      <c r="N12" s="10"/>
      <c r="O12" s="54"/>
      <c r="P12" s="54"/>
      <c r="Q12" s="54"/>
      <c r="T12" s="11">
        <v>40</v>
      </c>
      <c r="U12" s="11">
        <v>75</v>
      </c>
      <c r="V12" s="11">
        <v>140</v>
      </c>
      <c r="AA12" s="55" t="s">
        <v>103</v>
      </c>
      <c r="AB12" s="56"/>
      <c r="AE12" s="12" t="str">
        <f>IF(I12=TRUE,AA12,"")</f>
        <v>http://dragonplate.com/ecart/product.asp?pID=5171&amp;cID=196</v>
      </c>
      <c r="AF12" s="36">
        <v>3</v>
      </c>
      <c r="AG12" s="13" t="s">
        <v>178</v>
      </c>
    </row>
    <row r="13" spans="1:34">
      <c r="A13" s="34">
        <v>2</v>
      </c>
      <c r="B13" s="34" t="s">
        <v>2</v>
      </c>
      <c r="C13" s="34">
        <f>Sheet1!G5</f>
        <v>0.49699999999999994</v>
      </c>
      <c r="D13" s="34">
        <v>1.45</v>
      </c>
      <c r="E13" s="34">
        <f t="shared" si="0"/>
        <v>1</v>
      </c>
      <c r="I13" s="20"/>
      <c r="J13" s="5">
        <v>21</v>
      </c>
      <c r="K13" s="5">
        <f>IF(I14=TRUE,J13+$O$7,J13)</f>
        <v>24</v>
      </c>
      <c r="L13" s="37">
        <v>0.875</v>
      </c>
      <c r="M13" s="10">
        <f>IF(K13=0,0,(IF(K13&lt;24,T12,IF(K13&lt;48,U12,IF(K13&gt;96,"Error",V12)))))</f>
        <v>75</v>
      </c>
      <c r="N13" s="10"/>
      <c r="O13" s="54"/>
      <c r="P13" s="54"/>
      <c r="Q13" s="54"/>
      <c r="X13" s="12" t="s">
        <v>60</v>
      </c>
      <c r="Y13" s="12" t="s">
        <v>120</v>
      </c>
      <c r="Z13" s="12" t="s">
        <v>121</v>
      </c>
      <c r="AA13" s="25" t="s">
        <v>122</v>
      </c>
      <c r="AB13" s="12" t="s">
        <v>77</v>
      </c>
      <c r="AC13" s="12" t="s">
        <v>78</v>
      </c>
      <c r="AD13" s="12" t="s">
        <v>79</v>
      </c>
      <c r="AE13" s="12" t="str">
        <f>IF(K13=0,0,(IF($N$7="twill",IF(K13&lt;24,AB13,IF(K13&lt;48,AC13,IF(K13&gt;72,"Error",AD13))),IF($N$7="uni",IF(K13&lt;24,Y13,IF(K13&lt;48,Z13,IF(K13&gt;72,"Error",AA13))),""))))</f>
        <v>http://dragonplate.com/ecart/product.asp?pID=4931&amp;cID=277</v>
      </c>
      <c r="AF13" s="33"/>
      <c r="AG13" s="13" t="s">
        <v>179</v>
      </c>
    </row>
    <row r="14" spans="1:34">
      <c r="E14" s="34">
        <f t="shared" si="0"/>
        <v>0</v>
      </c>
      <c r="H14" s="34" t="s">
        <v>2</v>
      </c>
      <c r="I14" s="21" t="b">
        <v>1</v>
      </c>
      <c r="M14" s="10">
        <f>I14*12.5</f>
        <v>12.5</v>
      </c>
      <c r="N14" s="10"/>
      <c r="O14" s="54"/>
      <c r="P14" s="54"/>
      <c r="Q14" s="54"/>
      <c r="T14" s="11">
        <v>46.25</v>
      </c>
      <c r="U14" s="11">
        <v>87.5</v>
      </c>
      <c r="V14" s="11">
        <v>165</v>
      </c>
      <c r="AA14" s="55" t="s">
        <v>104</v>
      </c>
      <c r="AB14" s="56"/>
      <c r="AE14" s="12" t="str">
        <f>IF(I14=TRUE,AA14,"")</f>
        <v>http://dragonplate.com/ecart/product.asp?pID=5172&amp;cID=196</v>
      </c>
      <c r="AF14" s="33"/>
    </row>
    <row r="15" spans="1:34">
      <c r="A15" s="34">
        <v>3</v>
      </c>
      <c r="B15" s="34" t="s">
        <v>3</v>
      </c>
      <c r="C15" s="34">
        <f>Sheet1!G6</f>
        <v>0.57800000000000007</v>
      </c>
      <c r="D15" s="34">
        <v>1.64</v>
      </c>
      <c r="E15" s="34">
        <f t="shared" si="0"/>
        <v>1</v>
      </c>
      <c r="I15" s="20"/>
      <c r="J15" s="5">
        <v>21</v>
      </c>
      <c r="K15" s="5">
        <f>IF(I16=TRUE,J15+$O$7,J15)</f>
        <v>24</v>
      </c>
      <c r="L15" s="37">
        <v>1</v>
      </c>
      <c r="M15" s="10">
        <f>IF(K15=0,0,(IF(K15&lt;24,T14,IF(K15&lt;48,U14,IF(K15&gt;96,"Error",V14)))))</f>
        <v>87.5</v>
      </c>
      <c r="N15" s="10"/>
      <c r="O15" s="54"/>
      <c r="P15" s="54"/>
      <c r="Q15" s="54"/>
      <c r="X15" s="12" t="s">
        <v>61</v>
      </c>
      <c r="Y15" s="12" t="s">
        <v>123</v>
      </c>
      <c r="Z15" s="12" t="s">
        <v>124</v>
      </c>
      <c r="AA15" s="25" t="s">
        <v>125</v>
      </c>
      <c r="AB15" s="12" t="s">
        <v>80</v>
      </c>
      <c r="AC15" s="12" t="s">
        <v>81</v>
      </c>
      <c r="AD15" s="12" t="s">
        <v>82</v>
      </c>
      <c r="AE15" s="12" t="str">
        <f>IF(K15=0,0,(IF($N$7="twill",IF(K15&lt;24,AB15,IF(K15&lt;48,AC15,IF(K15&gt;72,"Error",AD15))),IF($N$7="uni",IF(K15&lt;24,Y15,IF(K15&lt;48,Z15,IF(K15&gt;72,"Error",AA15))),""))))</f>
        <v>http://dragonplate.com/ecart/product.asp?pID=4824&amp;cID=277</v>
      </c>
      <c r="AF15" s="36">
        <v>4</v>
      </c>
      <c r="AG15" s="38" t="s">
        <v>51</v>
      </c>
      <c r="AH15" s="13" t="s">
        <v>197</v>
      </c>
    </row>
    <row r="16" spans="1:34">
      <c r="E16" s="34">
        <f t="shared" si="0"/>
        <v>0</v>
      </c>
      <c r="H16" s="34" t="s">
        <v>3</v>
      </c>
      <c r="I16" s="21" t="b">
        <v>1</v>
      </c>
      <c r="M16" s="10">
        <f>I16*13.75</f>
        <v>13.75</v>
      </c>
      <c r="N16" s="10"/>
      <c r="O16" s="54"/>
      <c r="P16" s="54"/>
      <c r="Q16" s="54"/>
      <c r="T16" s="11">
        <v>48.25</v>
      </c>
      <c r="U16" s="11">
        <v>91.5</v>
      </c>
      <c r="V16" s="11">
        <v>173</v>
      </c>
      <c r="AA16" s="55" t="s">
        <v>105</v>
      </c>
      <c r="AB16" s="56"/>
      <c r="AE16" s="12" t="str">
        <f>IF(I16=TRUE,AA16,"")</f>
        <v>http://dragonplate.com/ecart/product.asp?pID=5173&amp;cID=196</v>
      </c>
      <c r="AF16" s="33"/>
      <c r="AG16" s="39"/>
      <c r="AH16" s="13" t="s">
        <v>180</v>
      </c>
    </row>
    <row r="17" spans="1:34">
      <c r="A17" s="34">
        <v>4</v>
      </c>
      <c r="B17" s="34" t="s">
        <v>4</v>
      </c>
      <c r="C17" s="34">
        <f>Sheet1!G7</f>
        <v>0.65700000000000003</v>
      </c>
      <c r="D17" s="34">
        <v>1.81</v>
      </c>
      <c r="E17" s="34">
        <f t="shared" si="0"/>
        <v>1</v>
      </c>
      <c r="I17" s="20"/>
      <c r="J17" s="5">
        <v>21</v>
      </c>
      <c r="K17" s="5">
        <f>IF(I18=TRUE,J17+$O$7,J17)</f>
        <v>24</v>
      </c>
      <c r="L17" s="37">
        <v>1.125</v>
      </c>
      <c r="M17" s="10">
        <f>IF(K17=0,0,(IF(K17&lt;24,T16,IF(K17&lt;48,U16,IF(K17&gt;96,"Error",V16)))))</f>
        <v>91.5</v>
      </c>
      <c r="N17" s="10"/>
      <c r="X17" s="12" t="s">
        <v>62</v>
      </c>
      <c r="Y17" s="12" t="s">
        <v>126</v>
      </c>
      <c r="Z17" s="12" t="s">
        <v>127</v>
      </c>
      <c r="AA17" s="25" t="s">
        <v>128</v>
      </c>
      <c r="AB17" s="12" t="s">
        <v>83</v>
      </c>
      <c r="AC17" s="12" t="s">
        <v>84</v>
      </c>
      <c r="AD17" s="12" t="s">
        <v>85</v>
      </c>
      <c r="AE17" s="12" t="str">
        <f>IF(K17=0,0,(IF($N$7="twill",IF(K17&lt;24,AB17,IF(K17&lt;48,AC17,IF(K17&gt;72,"Error",AD17))),IF($N$7="uni",IF(K17&lt;24,Y17,IF(K17&lt;48,Z17,IF(K17&gt;72,"Error",AA17))),""))))</f>
        <v>http://dragonplate.com/ecart/product.asp?pID=4934&amp;cID=277</v>
      </c>
      <c r="AF17" s="33"/>
      <c r="AG17" s="39" t="s">
        <v>47</v>
      </c>
      <c r="AH17" s="13" t="s">
        <v>196</v>
      </c>
    </row>
    <row r="18" spans="1:34">
      <c r="E18" s="34">
        <f t="shared" si="0"/>
        <v>0</v>
      </c>
      <c r="H18" s="34" t="s">
        <v>4</v>
      </c>
      <c r="I18" s="21" t="b">
        <v>1</v>
      </c>
      <c r="M18" s="10">
        <f>I18*14.5</f>
        <v>14.5</v>
      </c>
      <c r="N18" s="10"/>
      <c r="T18" s="11">
        <v>50.75</v>
      </c>
      <c r="U18" s="11">
        <v>96.5</v>
      </c>
      <c r="V18" s="11">
        <v>183</v>
      </c>
      <c r="AA18" s="55" t="s">
        <v>106</v>
      </c>
      <c r="AB18" s="56"/>
      <c r="AE18" s="12" t="str">
        <f>IF(I18=TRUE,AA18,"")</f>
        <v>http://dragonplate.com/ecart/product.asp?pID=5197&amp;cID=196</v>
      </c>
      <c r="AF18" s="33"/>
      <c r="AG18" s="39"/>
      <c r="AH18" s="13" t="s">
        <v>181</v>
      </c>
    </row>
    <row r="19" spans="1:34">
      <c r="A19" s="34">
        <v>5</v>
      </c>
      <c r="B19" s="34" t="s">
        <v>5</v>
      </c>
      <c r="C19" s="34">
        <f>Sheet1!G8</f>
        <v>0.7370000000000001</v>
      </c>
      <c r="D19" s="34">
        <v>2</v>
      </c>
      <c r="E19" s="34">
        <f t="shared" si="0"/>
        <v>0</v>
      </c>
      <c r="I19" s="20"/>
      <c r="J19" s="5">
        <v>24</v>
      </c>
      <c r="K19" s="5">
        <f>IF(I20=TRUE,J19+$O$7,J19)</f>
        <v>24</v>
      </c>
      <c r="L19" s="37">
        <v>1.25</v>
      </c>
      <c r="M19" s="10">
        <f>IF(K19=0,0,(IF(K19&lt;24,T18,IF(K19&lt;48,U18,IF(K19&gt;96,"Error",V18)))))</f>
        <v>96.5</v>
      </c>
      <c r="N19" s="10"/>
      <c r="X19" s="12" t="s">
        <v>67</v>
      </c>
      <c r="Y19" s="12" t="s">
        <v>129</v>
      </c>
      <c r="Z19" s="12" t="s">
        <v>130</v>
      </c>
      <c r="AA19" s="25" t="s">
        <v>131</v>
      </c>
      <c r="AB19" s="12" t="s">
        <v>86</v>
      </c>
      <c r="AC19" s="12" t="s">
        <v>87</v>
      </c>
      <c r="AD19" s="12" t="s">
        <v>88</v>
      </c>
      <c r="AE19" s="12" t="str">
        <f>IF(K19=0,0,(IF($N$7="twill",IF(K19&lt;24,AB19,IF(K19&lt;48,AC19,IF(K19&gt;72,"Error",AD19))),IF($N$7="uni",IF(K19&lt;24,Y19,IF(K19&lt;48,Z19,IF(K19&gt;72,"Error",AA19))),""))))</f>
        <v>http://dragonplate.com/ecart/product.asp?pID=4848&amp;cID=277</v>
      </c>
      <c r="AF19" s="33"/>
      <c r="AG19" s="39" t="s">
        <v>183</v>
      </c>
      <c r="AH19" s="13" t="s">
        <v>198</v>
      </c>
    </row>
    <row r="20" spans="1:34">
      <c r="E20" s="34">
        <f t="shared" si="0"/>
        <v>0</v>
      </c>
      <c r="H20" s="34" t="s">
        <v>5</v>
      </c>
      <c r="I20" s="21"/>
      <c r="M20" s="10">
        <f>I20*16.25</f>
        <v>0</v>
      </c>
      <c r="N20" s="10"/>
      <c r="T20" s="11">
        <v>55.5</v>
      </c>
      <c r="U20" s="11">
        <v>106</v>
      </c>
      <c r="V20" s="11">
        <v>202</v>
      </c>
      <c r="AA20" s="55" t="s">
        <v>107</v>
      </c>
      <c r="AB20" s="56"/>
      <c r="AE20" s="12" t="str">
        <f>IF(I20=TRUE,AA20,"")</f>
        <v/>
      </c>
      <c r="AF20" s="33"/>
      <c r="AG20" s="39"/>
      <c r="AH20" s="13" t="s">
        <v>182</v>
      </c>
    </row>
    <row r="21" spans="1:34">
      <c r="A21" s="34">
        <v>6</v>
      </c>
      <c r="B21" s="34" t="s">
        <v>6</v>
      </c>
      <c r="C21" s="34">
        <f>Sheet1!G9</f>
        <v>0.81400000000000006</v>
      </c>
      <c r="D21" s="34">
        <v>2.17</v>
      </c>
      <c r="E21" s="34">
        <f t="shared" si="0"/>
        <v>0</v>
      </c>
      <c r="I21" s="20"/>
      <c r="J21" s="5"/>
      <c r="K21" s="5">
        <f>IF(I22=TRUE,J21+$O$7,J21)</f>
        <v>0</v>
      </c>
      <c r="L21" s="37">
        <v>1.375</v>
      </c>
      <c r="M21" s="10">
        <f>IF(K21=0,0,(IF(K21&lt;24,T20,IF(K21&lt;48,U20,IF(K21&gt;96,"Error",V20)))))</f>
        <v>0</v>
      </c>
      <c r="N21" s="10"/>
      <c r="X21" s="12" t="s">
        <v>63</v>
      </c>
      <c r="Y21" s="12" t="s">
        <v>132</v>
      </c>
      <c r="Z21" s="12" t="s">
        <v>133</v>
      </c>
      <c r="AA21" s="25" t="s">
        <v>134</v>
      </c>
      <c r="AB21" s="12" t="s">
        <v>89</v>
      </c>
      <c r="AC21" s="12" t="s">
        <v>90</v>
      </c>
      <c r="AD21" s="12" t="s">
        <v>91</v>
      </c>
      <c r="AE21" s="12">
        <f>IF(K21=0,0,(IF($N$7="twill",IF(K21&lt;24,AB21,IF(K21&lt;48,AC21,IF(K21&gt;72,"Error",AD21))),IF($N$7="uni",IF(K21&lt;24,Y21,IF(K21&lt;48,Z21,IF(K21&gt;72,"Error",AA21))),""))))</f>
        <v>0</v>
      </c>
      <c r="AF21" s="33"/>
      <c r="AG21" s="39" t="s">
        <v>195</v>
      </c>
      <c r="AH21" s="13" t="s">
        <v>184</v>
      </c>
    </row>
    <row r="22" spans="1:34">
      <c r="E22" s="34">
        <f t="shared" si="0"/>
        <v>0</v>
      </c>
      <c r="H22" s="34" t="s">
        <v>6</v>
      </c>
      <c r="I22" s="21"/>
      <c r="M22" s="10">
        <f>I22*19.5</f>
        <v>0</v>
      </c>
      <c r="N22" s="10"/>
      <c r="T22" s="11">
        <v>59.75</v>
      </c>
      <c r="U22" s="11">
        <v>114.5</v>
      </c>
      <c r="V22" s="11">
        <v>219</v>
      </c>
      <c r="AA22" s="55" t="s">
        <v>108</v>
      </c>
      <c r="AB22" s="56"/>
      <c r="AE22" s="12" t="str">
        <f>IF(I22=TRUE,AA22,"")</f>
        <v/>
      </c>
      <c r="AF22" s="33"/>
      <c r="AG22" s="39"/>
      <c r="AH22" s="13" t="s">
        <v>199</v>
      </c>
    </row>
    <row r="23" spans="1:34">
      <c r="A23" s="34">
        <v>7</v>
      </c>
      <c r="B23" s="34" t="s">
        <v>7</v>
      </c>
      <c r="C23" s="34">
        <f>Sheet1!G10</f>
        <v>0.89699999999999991</v>
      </c>
      <c r="D23" s="34">
        <v>2.36</v>
      </c>
      <c r="E23" s="34">
        <f t="shared" si="0"/>
        <v>0</v>
      </c>
      <c r="I23" s="20"/>
      <c r="J23" s="5"/>
      <c r="K23" s="5">
        <f>IF(I24=TRUE,J23+$O$7,J23)</f>
        <v>0</v>
      </c>
      <c r="L23" s="37">
        <v>1.5</v>
      </c>
      <c r="M23" s="10">
        <f>IF(K23=0,0,(IF(K23&lt;24,T22,IF(K23&lt;48,U22,IF(K23&gt;96,"Error",V22)))))</f>
        <v>0</v>
      </c>
      <c r="N23" s="10"/>
      <c r="X23" s="12" t="s">
        <v>64</v>
      </c>
      <c r="Y23" s="12" t="s">
        <v>135</v>
      </c>
      <c r="Z23" s="12" t="s">
        <v>137</v>
      </c>
      <c r="AA23" s="25" t="s">
        <v>136</v>
      </c>
      <c r="AB23" s="12" t="s">
        <v>92</v>
      </c>
      <c r="AC23" s="12" t="s">
        <v>93</v>
      </c>
      <c r="AD23" s="12" t="s">
        <v>94</v>
      </c>
      <c r="AE23" s="12">
        <f>IF(K23=0,0,(IF($N$7="twill",IF(K23&lt;24,AB23,IF(K23&lt;48,AC23,IF(K23&gt;72,"Error",AD23))),IF($N$7="uni",IF(K23&lt;24,Y23,IF(K23&lt;48,Z23,IF(K23&gt;72,"Error",AA23))),""))))</f>
        <v>0</v>
      </c>
      <c r="AF23" s="33"/>
      <c r="AG23" s="39" t="s">
        <v>49</v>
      </c>
      <c r="AH23" s="13" t="s">
        <v>185</v>
      </c>
    </row>
    <row r="24" spans="1:34">
      <c r="E24" s="34">
        <f t="shared" si="0"/>
        <v>0</v>
      </c>
      <c r="H24" s="34" t="s">
        <v>7</v>
      </c>
      <c r="I24" s="21"/>
      <c r="M24" s="10">
        <f>I24*21.75</f>
        <v>0</v>
      </c>
      <c r="N24" s="10"/>
      <c r="T24" s="11">
        <v>62</v>
      </c>
      <c r="U24" s="11">
        <v>119</v>
      </c>
      <c r="V24" s="11">
        <v>228</v>
      </c>
      <c r="AA24" s="55" t="s">
        <v>109</v>
      </c>
      <c r="AB24" s="56"/>
      <c r="AE24" s="12" t="str">
        <f>IF(I24=TRUE,AA24,"")</f>
        <v/>
      </c>
      <c r="AF24" s="33"/>
      <c r="AG24" s="39"/>
      <c r="AH24" s="13" t="s">
        <v>186</v>
      </c>
    </row>
    <row r="25" spans="1:34">
      <c r="A25" s="34">
        <v>8</v>
      </c>
      <c r="B25" s="34" t="s">
        <v>8</v>
      </c>
      <c r="C25" s="34">
        <f>Sheet1!G11</f>
        <v>0.97599999999999998</v>
      </c>
      <c r="D25" s="34">
        <v>2.5</v>
      </c>
      <c r="E25" s="34">
        <f t="shared" si="0"/>
        <v>0</v>
      </c>
      <c r="I25" s="20"/>
      <c r="J25" s="5"/>
      <c r="K25" s="5">
        <f>IF(I26=TRUE,J25+$O$7,J25)</f>
        <v>0</v>
      </c>
      <c r="L25" s="37">
        <v>1.625</v>
      </c>
      <c r="M25" s="10">
        <f>IF(K25=0,0,(IF(K25&lt;24,T24,IF(K25&lt;48,U24,IF(K25&gt;96,"Error",V24)))))</f>
        <v>0</v>
      </c>
      <c r="N25" s="10"/>
      <c r="X25" s="12" t="s">
        <v>65</v>
      </c>
      <c r="AA25" s="25"/>
      <c r="AB25" s="12" t="s">
        <v>95</v>
      </c>
      <c r="AC25" s="12" t="s">
        <v>96</v>
      </c>
      <c r="AD25" s="12" t="s">
        <v>97</v>
      </c>
      <c r="AE25" s="12">
        <f>IF(K25=0,0,(IF($N$7="twill",IF(K25&lt;24,AB25,IF(K25&lt;48,AC25,IF(K25&gt;72,"Error",AD25))),IF($N$7="uni",IF(K25&lt;24,Y25,IF(K25&lt;48,Z25,IF(K25&gt;72,"Error",AA25))),""))))</f>
        <v>0</v>
      </c>
      <c r="AF25" s="33"/>
      <c r="AG25" s="39" t="s">
        <v>187</v>
      </c>
      <c r="AH25" s="13" t="s">
        <v>188</v>
      </c>
    </row>
    <row r="26" spans="1:34">
      <c r="H26" s="34" t="s">
        <v>8</v>
      </c>
      <c r="I26" s="21"/>
      <c r="M26" s="10">
        <f>I26*24.5</f>
        <v>0</v>
      </c>
      <c r="N26" s="10"/>
      <c r="T26" s="11">
        <v>64.25</v>
      </c>
      <c r="U26" s="11">
        <v>123.5</v>
      </c>
      <c r="V26" s="11">
        <v>237</v>
      </c>
      <c r="AA26" s="55" t="s">
        <v>110</v>
      </c>
      <c r="AB26" s="56"/>
      <c r="AE26" s="12" t="str">
        <f>IF(I26=TRUE,AA26,"")</f>
        <v/>
      </c>
      <c r="AF26" s="33"/>
      <c r="AG26" s="39"/>
      <c r="AH26" s="13" t="s">
        <v>189</v>
      </c>
    </row>
    <row r="27" spans="1:34">
      <c r="G27" s="4" t="s">
        <v>23</v>
      </c>
      <c r="J27" s="5"/>
      <c r="K27" s="5">
        <f>J27</f>
        <v>0</v>
      </c>
      <c r="L27" s="37">
        <v>1.75</v>
      </c>
      <c r="M27" s="10">
        <f>IF(K27=0,0,(IF(K27&lt;24,T26,IF(K27&lt;48,U26,IF(K27&gt;96,"Error",V26)))))</f>
        <v>0</v>
      </c>
      <c r="N27" s="10"/>
      <c r="X27" s="12" t="s">
        <v>66</v>
      </c>
      <c r="AA27" s="25"/>
      <c r="AB27" s="12" t="s">
        <v>98</v>
      </c>
      <c r="AC27" s="12" t="s">
        <v>99</v>
      </c>
      <c r="AD27" s="12" t="s">
        <v>100</v>
      </c>
      <c r="AE27" s="12">
        <f>IF(K27=0,0,(IF($N$7="twill",IF(K27&lt;24,AB27,IF(K27&lt;48,AC27,IF(K27&gt;72,"Error",AD27))),IF($N$7="uni",IF(K27&lt;24,Y27,IF(K27&lt;48,Z27,IF(K27&gt;72,"Error",AA27))),""))))</f>
        <v>0</v>
      </c>
      <c r="AF27" s="33"/>
      <c r="AG27" s="39" t="s">
        <v>190</v>
      </c>
      <c r="AH27" s="13" t="s">
        <v>191</v>
      </c>
    </row>
    <row r="28" spans="1:34">
      <c r="AF28" s="33"/>
      <c r="AG28" s="35"/>
      <c r="AH28" s="13" t="s">
        <v>192</v>
      </c>
    </row>
    <row r="29" spans="1:34">
      <c r="AF29" s="33"/>
    </row>
    <row r="30" spans="1:34">
      <c r="AF30" s="36">
        <v>5</v>
      </c>
      <c r="AG30" s="34" t="s">
        <v>193</v>
      </c>
    </row>
    <row r="31" spans="1:34">
      <c r="AF31" s="33"/>
      <c r="AG31" s="34" t="s">
        <v>194</v>
      </c>
    </row>
  </sheetData>
  <mergeCells count="14">
    <mergeCell ref="AA18:AB18"/>
    <mergeCell ref="AA20:AB20"/>
    <mergeCell ref="AA22:AB22"/>
    <mergeCell ref="AA24:AB24"/>
    <mergeCell ref="AA26:AB26"/>
    <mergeCell ref="F1:R4"/>
    <mergeCell ref="Y5:AA5"/>
    <mergeCell ref="AB5:AD5"/>
    <mergeCell ref="AA8:AB8"/>
    <mergeCell ref="O10:Q16"/>
    <mergeCell ref="AA10:AB10"/>
    <mergeCell ref="AA12:AB12"/>
    <mergeCell ref="AA14:AB14"/>
    <mergeCell ref="AA16:AB16"/>
  </mergeCells>
  <dataValidations count="1">
    <dataValidation type="list" allowBlank="1" showInputMessage="1" showErrorMessage="1" sqref="N7">
      <formula1>TubeTypes</formula1>
    </dataValidation>
  </dataValidations>
  <hyperlinks>
    <hyperlink ref="AC7" r:id="rId1"/>
    <hyperlink ref="AA8" r:id="rId2"/>
    <hyperlink ref="AA10" r:id="rId3"/>
    <hyperlink ref="AA12" r:id="rId4"/>
    <hyperlink ref="AA14" r:id="rId5"/>
    <hyperlink ref="AA16" r:id="rId6"/>
    <hyperlink ref="AA18" r:id="rId7"/>
    <hyperlink ref="AA20" r:id="rId8"/>
    <hyperlink ref="AA22" r:id="rId9"/>
    <hyperlink ref="AA24" r:id="rId10"/>
    <hyperlink ref="AA26" r:id="rId11"/>
    <hyperlink ref="Y7" r:id="rId12"/>
  </hyperlinks>
  <pageMargins left="0.7" right="0.7" top="0.75" bottom="0.75" header="0.3" footer="0.3"/>
  <pageSetup orientation="portrait" r:id="rId13"/>
  <drawing r:id="rId14"/>
  <legacyDrawing r:id="rId15"/>
</worksheet>
</file>

<file path=xl/worksheets/sheet3.xml><?xml version="1.0" encoding="utf-8"?>
<worksheet xmlns="http://schemas.openxmlformats.org/spreadsheetml/2006/main" xmlns:r="http://schemas.openxmlformats.org/officeDocument/2006/relationships">
  <sheetPr codeName="Sheet1"/>
  <dimension ref="A1:AJ27"/>
  <sheetViews>
    <sheetView workbookViewId="0">
      <selection activeCell="I32" sqref="I32"/>
    </sheetView>
  </sheetViews>
  <sheetFormatPr defaultRowHeight="15"/>
  <cols>
    <col min="1" max="2" width="9.140625" customWidth="1"/>
    <col min="3" max="3" width="10.7109375" customWidth="1"/>
    <col min="4" max="4" width="6.85546875" hidden="1" customWidth="1"/>
    <col min="5" max="5" width="6.85546875" style="34" hidden="1" customWidth="1"/>
    <col min="6" max="6" width="8.42578125" hidden="1" customWidth="1"/>
    <col min="9" max="9" width="10.7109375" bestFit="1" customWidth="1"/>
    <col min="10" max="10" width="10.7109375" customWidth="1"/>
    <col min="11" max="12" width="11.85546875" customWidth="1"/>
    <col min="14" max="14" width="9.140625" hidden="1" customWidth="1"/>
    <col min="15" max="15" width="11.85546875" style="34" customWidth="1"/>
    <col min="16" max="16" width="13.140625" customWidth="1"/>
    <col min="17" max="17" width="10.7109375" customWidth="1"/>
    <col min="18" max="18" width="11.85546875" bestFit="1" customWidth="1"/>
    <col min="19" max="19" width="14.42578125" bestFit="1" customWidth="1"/>
    <col min="20" max="20" width="14.5703125" customWidth="1"/>
    <col min="21" max="21" width="9.140625" customWidth="1"/>
    <col min="22" max="22" width="9.140625" hidden="1" customWidth="1"/>
    <col min="23" max="23" width="9.140625" style="34" hidden="1" customWidth="1"/>
    <col min="24" max="24" width="9.140625" hidden="1" customWidth="1"/>
    <col min="25" max="25" width="9.140625" style="34" hidden="1" customWidth="1"/>
    <col min="26" max="26" width="9.140625" hidden="1" customWidth="1"/>
    <col min="27" max="27" width="9.140625" style="34" hidden="1" customWidth="1"/>
    <col min="28" max="28" width="7.140625" hidden="1" customWidth="1"/>
    <col min="29" max="35" width="9.140625" style="12" hidden="1" customWidth="1"/>
    <col min="36" max="36" width="41.140625" style="12" hidden="1" customWidth="1"/>
    <col min="37" max="38" width="9.140625" customWidth="1"/>
  </cols>
  <sheetData>
    <row r="1" spans="1:36" ht="15" customHeight="1">
      <c r="G1" s="43" t="s">
        <v>53</v>
      </c>
      <c r="H1" s="44"/>
      <c r="I1" s="44"/>
      <c r="J1" s="44"/>
      <c r="K1" s="44"/>
      <c r="L1" s="44"/>
      <c r="M1" s="44"/>
      <c r="N1" s="44"/>
      <c r="O1" s="44"/>
      <c r="P1" s="44"/>
      <c r="Q1" s="44"/>
      <c r="R1" s="44"/>
      <c r="S1" s="44"/>
      <c r="T1" s="45"/>
      <c r="AC1"/>
    </row>
    <row r="2" spans="1:36" ht="15.75" customHeight="1">
      <c r="G2" s="46"/>
      <c r="H2" s="47"/>
      <c r="I2" s="47"/>
      <c r="J2" s="47"/>
      <c r="K2" s="47"/>
      <c r="L2" s="47"/>
      <c r="M2" s="47"/>
      <c r="N2" s="47"/>
      <c r="O2" s="47"/>
      <c r="P2" s="47"/>
      <c r="Q2" s="47"/>
      <c r="R2" s="47"/>
      <c r="S2" s="47"/>
      <c r="T2" s="48"/>
      <c r="AC2"/>
    </row>
    <row r="3" spans="1:36">
      <c r="G3" s="46"/>
      <c r="H3" s="47"/>
      <c r="I3" s="47"/>
      <c r="J3" s="47"/>
      <c r="K3" s="47"/>
      <c r="L3" s="47"/>
      <c r="M3" s="47"/>
      <c r="N3" s="47"/>
      <c r="O3" s="47"/>
      <c r="P3" s="47"/>
      <c r="Q3" s="47"/>
      <c r="R3" s="47"/>
      <c r="S3" s="47"/>
      <c r="T3" s="48"/>
      <c r="AC3"/>
    </row>
    <row r="4" spans="1:36" ht="25.5" customHeight="1" thickBot="1">
      <c r="G4" s="49"/>
      <c r="H4" s="50"/>
      <c r="I4" s="50"/>
      <c r="J4" s="50"/>
      <c r="K4" s="50"/>
      <c r="L4" s="50"/>
      <c r="M4" s="50"/>
      <c r="N4" s="50"/>
      <c r="O4" s="50"/>
      <c r="P4" s="50"/>
      <c r="Q4" s="50"/>
      <c r="R4" s="50"/>
      <c r="S4" s="50"/>
      <c r="T4" s="51"/>
      <c r="AC4"/>
    </row>
    <row r="5" spans="1:36">
      <c r="B5" s="14" t="s">
        <v>0</v>
      </c>
      <c r="C5" s="1"/>
      <c r="D5" s="1"/>
      <c r="E5" s="8"/>
      <c r="J5" s="1" t="s">
        <v>21</v>
      </c>
      <c r="K5" s="1"/>
      <c r="L5" s="8"/>
      <c r="AD5" s="52" t="s">
        <v>55</v>
      </c>
      <c r="AE5" s="52"/>
      <c r="AF5" s="52"/>
      <c r="AG5" s="52" t="s">
        <v>56</v>
      </c>
      <c r="AH5" s="52"/>
      <c r="AI5" s="52"/>
    </row>
    <row r="6" spans="1:36" ht="45">
      <c r="A6" s="2" t="s">
        <v>9</v>
      </c>
      <c r="B6" s="2" t="s">
        <v>13</v>
      </c>
      <c r="C6" s="2" t="s">
        <v>10</v>
      </c>
      <c r="D6" s="2" t="s">
        <v>11</v>
      </c>
      <c r="E6" s="8"/>
      <c r="H6" s="4" t="s">
        <v>24</v>
      </c>
      <c r="J6" s="7" t="s">
        <v>29</v>
      </c>
      <c r="K6" s="6" t="s">
        <v>28</v>
      </c>
      <c r="L6" s="9" t="s">
        <v>30</v>
      </c>
      <c r="M6" s="8" t="s">
        <v>27</v>
      </c>
      <c r="N6" s="8" t="s">
        <v>38</v>
      </c>
      <c r="O6" s="40" t="s">
        <v>200</v>
      </c>
      <c r="P6" s="23" t="s">
        <v>54</v>
      </c>
      <c r="Q6" s="9" t="s">
        <v>46</v>
      </c>
      <c r="R6" s="22" t="s">
        <v>40</v>
      </c>
      <c r="S6" s="1" t="s">
        <v>25</v>
      </c>
      <c r="T6" s="1" t="s">
        <v>26</v>
      </c>
      <c r="V6">
        <v>24</v>
      </c>
      <c r="W6" s="34" t="s">
        <v>55</v>
      </c>
      <c r="X6">
        <v>48</v>
      </c>
      <c r="Y6" s="34" t="s">
        <v>55</v>
      </c>
      <c r="Z6">
        <v>96</v>
      </c>
      <c r="AA6" s="34" t="s">
        <v>55</v>
      </c>
      <c r="AD6" s="27">
        <v>24</v>
      </c>
      <c r="AE6" s="27">
        <v>48</v>
      </c>
      <c r="AF6" s="28">
        <v>96</v>
      </c>
      <c r="AG6" s="27">
        <v>24</v>
      </c>
      <c r="AH6" s="27">
        <v>48</v>
      </c>
      <c r="AI6" s="27">
        <v>96</v>
      </c>
    </row>
    <row r="7" spans="1:36">
      <c r="A7">
        <v>11</v>
      </c>
      <c r="B7" t="s">
        <v>36</v>
      </c>
      <c r="C7">
        <f>Sheet1!G2</f>
        <v>0.25800000000000006</v>
      </c>
      <c r="D7">
        <v>0.93</v>
      </c>
      <c r="E7" s="34">
        <v>8</v>
      </c>
      <c r="F7">
        <f t="shared" ref="F7:F25" si="0">IF(J8=TRUE,1,0)</f>
        <v>0</v>
      </c>
      <c r="J7" s="20"/>
      <c r="K7" s="5"/>
      <c r="L7" s="5">
        <f>IF(K7=0,0,K7+Q7)</f>
        <v>0</v>
      </c>
      <c r="M7" s="17">
        <v>0.5</v>
      </c>
      <c r="N7" s="10">
        <f>IF($P$7="twill",IF(L7=0,0,(IF(L7&lt;=24,V7,IF(L7&lt;=48,X7,IF(L7&gt;72,"Error",Z7))))),IF(L7=0,0,(IF(L7&lt;24,W7,IF(L7&lt;=48,Y7,IF(L7&gt;72,"Error",AA7))))))</f>
        <v>0</v>
      </c>
      <c r="O7" s="41" t="b">
        <v>0</v>
      </c>
      <c r="P7" s="10" t="s">
        <v>56</v>
      </c>
      <c r="Q7" s="15">
        <v>3</v>
      </c>
      <c r="R7" s="17">
        <f>SUM(L7:L27)</f>
        <v>0</v>
      </c>
      <c r="S7" s="17">
        <f>SUM(K7:K27)+SUMPRODUCT(J8:J26,C7:C25)</f>
        <v>0</v>
      </c>
      <c r="T7" s="17">
        <f>MAX(K7:K27)+SUMPRODUCT(F7:F25,C7:C25)</f>
        <v>0</v>
      </c>
      <c r="U7" s="12" t="s">
        <v>44</v>
      </c>
      <c r="V7" s="11">
        <v>23.75</v>
      </c>
      <c r="W7" s="11">
        <v>20</v>
      </c>
      <c r="X7" s="11">
        <v>42.5</v>
      </c>
      <c r="Y7" s="11">
        <v>36</v>
      </c>
      <c r="Z7" s="11">
        <v>57</v>
      </c>
      <c r="AA7" s="11">
        <v>47</v>
      </c>
      <c r="AB7" t="s">
        <v>55</v>
      </c>
      <c r="AC7" s="24" t="s">
        <v>57</v>
      </c>
      <c r="AD7" s="32" t="s">
        <v>111</v>
      </c>
      <c r="AE7" s="12" t="s">
        <v>112</v>
      </c>
      <c r="AF7" s="12" t="s">
        <v>113</v>
      </c>
      <c r="AG7" s="31" t="s">
        <v>68</v>
      </c>
      <c r="AH7" s="29" t="s">
        <v>69</v>
      </c>
      <c r="AI7" s="26" t="s">
        <v>70</v>
      </c>
      <c r="AJ7" s="12">
        <f>IF(L7=0,0,(IF($P$7="twill",IF(L7&lt;24,#REF!,IF(L7&lt;48,#REF!,IF(L7&gt;72,"Error",#REF!))),IF($P$7="uni",IF(L7&lt;24,AG7,IF(L7&lt;48,AH7,IF(L7&gt;72,"Error",AI7))),""))))</f>
        <v>0</v>
      </c>
    </row>
    <row r="8" spans="1:36">
      <c r="F8">
        <f t="shared" si="0"/>
        <v>0</v>
      </c>
      <c r="I8" t="s">
        <v>36</v>
      </c>
      <c r="J8" s="21" t="b">
        <v>0</v>
      </c>
      <c r="N8" s="10" t="str">
        <f>IF($O$7=TRUE,IF(J8=TRUE,50+E7,""),IF(J8=TRUE,E7,""))</f>
        <v/>
      </c>
      <c r="O8" s="10"/>
      <c r="P8" s="10"/>
      <c r="R8" s="17">
        <f>R7/12</f>
        <v>0</v>
      </c>
      <c r="S8" s="17">
        <f t="shared" ref="S8:T8" si="1">S7/12</f>
        <v>0</v>
      </c>
      <c r="T8" s="17">
        <f t="shared" si="1"/>
        <v>0</v>
      </c>
      <c r="U8" s="12" t="s">
        <v>45</v>
      </c>
      <c r="V8" s="11">
        <v>26</v>
      </c>
      <c r="W8" s="11">
        <v>24.5</v>
      </c>
      <c r="X8" s="11">
        <v>47</v>
      </c>
      <c r="Y8" s="11">
        <v>44</v>
      </c>
      <c r="Z8" s="11">
        <v>84</v>
      </c>
      <c r="AA8" s="11">
        <v>78.25</v>
      </c>
      <c r="AB8" t="s">
        <v>56</v>
      </c>
      <c r="AF8" s="53" t="s">
        <v>101</v>
      </c>
      <c r="AG8" s="52"/>
      <c r="AJ8" s="12" t="str">
        <f>IF(J8=TRUE,AF8,"")</f>
        <v/>
      </c>
    </row>
    <row r="9" spans="1:36">
      <c r="A9">
        <v>12</v>
      </c>
      <c r="B9" t="s">
        <v>37</v>
      </c>
      <c r="C9">
        <f>Sheet1!G3</f>
        <v>0.33900000000000008</v>
      </c>
      <c r="D9">
        <v>1.1100000000000001</v>
      </c>
      <c r="E9" s="34">
        <v>9.5</v>
      </c>
      <c r="F9">
        <f t="shared" si="0"/>
        <v>0</v>
      </c>
      <c r="J9" s="20"/>
      <c r="K9" s="5"/>
      <c r="L9" s="5">
        <f>IF(AND(ISBLANK(K9)=FALSE,J10=TRUE),K9+$Q$7,K9)</f>
        <v>0</v>
      </c>
      <c r="M9" s="17">
        <v>0.625</v>
      </c>
      <c r="N9" s="10">
        <f>IF($P$7="twill",IF(L9=0,0,(IF(L9&lt;=24,V8,IF(L9&lt;=48,X8,IF(L9&gt;96,"Error",Z8))))),IF(L9=0,0,(IF(L9&lt;=24,W8,IF(L9&lt;=48,Y8,IF(L9&gt;96,"Error",AA8))))))</f>
        <v>0</v>
      </c>
      <c r="O9" s="10"/>
      <c r="P9" s="10"/>
      <c r="AC9" s="12" t="s">
        <v>58</v>
      </c>
      <c r="AD9" s="12" t="s">
        <v>114</v>
      </c>
      <c r="AE9" s="12" t="s">
        <v>115</v>
      </c>
      <c r="AF9" s="12" t="s">
        <v>116</v>
      </c>
      <c r="AG9" s="30" t="s">
        <v>71</v>
      </c>
      <c r="AH9" s="12" t="s">
        <v>72</v>
      </c>
      <c r="AI9" s="25" t="s">
        <v>73</v>
      </c>
      <c r="AJ9" s="12">
        <f>IF(L9=0,0,(IF($P$7="twill",IF(L9&lt;24,#REF!,IF(L9&lt;48,#REF!,IF(L9&gt;72,"Error",#REF!))),IF($P$7="uni",IF(L9&lt;24,#REF!,IF(L9&lt;48,#REF!,IF(L9&gt;72,"Error",#REF!))),""))))</f>
        <v>0</v>
      </c>
    </row>
    <row r="10" spans="1:36">
      <c r="F10">
        <f t="shared" si="0"/>
        <v>0</v>
      </c>
      <c r="I10" t="s">
        <v>37</v>
      </c>
      <c r="J10" s="21" t="b">
        <v>0</v>
      </c>
      <c r="N10" s="10" t="str">
        <f>IF($O$7=TRUE,IF(J10=TRUE,50+E9,""),IF(J10=TRUE,E9,""))</f>
        <v/>
      </c>
      <c r="O10" s="10"/>
      <c r="P10" s="10"/>
      <c r="Q10" s="54" t="str">
        <f>IF(SUM(K7:K27)=0,"",IF(MAX(L7:L27)&gt;MAX(K7:K27),"ERROR:  CHECK TUBE LENGTHS.  ACTUAL TUBE LENGTH LONGER THAN BASE TUBE",""))</f>
        <v/>
      </c>
      <c r="R10" s="54"/>
      <c r="S10" s="54"/>
      <c r="T10" s="1" t="s">
        <v>39</v>
      </c>
      <c r="V10" s="11">
        <v>32.75</v>
      </c>
      <c r="W10" s="11">
        <v>28</v>
      </c>
      <c r="X10" s="11">
        <v>60.5</v>
      </c>
      <c r="Y10" s="11">
        <v>51.25</v>
      </c>
      <c r="Z10" s="11">
        <v>111</v>
      </c>
      <c r="AA10" s="11">
        <v>90</v>
      </c>
      <c r="AF10" s="55" t="s">
        <v>102</v>
      </c>
      <c r="AG10" s="56"/>
      <c r="AJ10" s="12" t="str">
        <f>IF(J10=TRUE,AF10,"")</f>
        <v/>
      </c>
    </row>
    <row r="11" spans="1:36">
      <c r="A11">
        <v>1</v>
      </c>
      <c r="B11" t="s">
        <v>1</v>
      </c>
      <c r="C11">
        <f>Sheet1!G4</f>
        <v>0.41800000000000004</v>
      </c>
      <c r="D11">
        <v>1.28</v>
      </c>
      <c r="E11" s="34">
        <v>11</v>
      </c>
      <c r="F11">
        <f t="shared" si="0"/>
        <v>0</v>
      </c>
      <c r="J11" s="20"/>
      <c r="K11" s="5"/>
      <c r="L11" s="5">
        <f>IF(AND(ISBLANK(K11)=FALSE,J12=TRUE),K11+$Q$7,K11)</f>
        <v>0</v>
      </c>
      <c r="M11" s="17">
        <v>0.75</v>
      </c>
      <c r="N11" s="10">
        <f>IF($P$7="twill",IF(L11=0,0,(IF(L11&lt;=24,V10,IF(L11&lt;=48,X10,IF(L11&gt;96,"Error",Z10))))),IF(L11=0,0,(IF(L11&lt;=24,W10,IF(L11&lt;=48,Y10,IF(L11&gt;96,"Error",AA10))))))</f>
        <v>0</v>
      </c>
      <c r="O11" s="10"/>
      <c r="P11" s="10"/>
      <c r="Q11" s="54"/>
      <c r="R11" s="54"/>
      <c r="S11" s="54"/>
      <c r="T11" s="18">
        <f>SUM(N7:N27)</f>
        <v>0</v>
      </c>
      <c r="AC11" s="12" t="s">
        <v>59</v>
      </c>
      <c r="AD11" s="12" t="s">
        <v>117</v>
      </c>
      <c r="AE11" s="12" t="s">
        <v>118</v>
      </c>
      <c r="AF11" s="25" t="s">
        <v>119</v>
      </c>
      <c r="AG11" s="12" t="s">
        <v>74</v>
      </c>
      <c r="AH11" s="12" t="s">
        <v>75</v>
      </c>
      <c r="AI11" s="12" t="s">
        <v>76</v>
      </c>
      <c r="AJ11" s="12">
        <f>IF(L11=0,0,(IF($P$7="twill",IF(L11&lt;24,AG11,IF(L11&lt;48,AH11,IF(L11&gt;72,"Error",AI11))),IF($P$7="uni",IF(L11&lt;24,AD11,IF(L11&lt;48,AE11,IF(L11&gt;72,"Error",AF11))),""))))</f>
        <v>0</v>
      </c>
    </row>
    <row r="12" spans="1:36">
      <c r="F12">
        <f t="shared" si="0"/>
        <v>0</v>
      </c>
      <c r="I12" t="s">
        <v>1</v>
      </c>
      <c r="J12" s="21" t="b">
        <v>0</v>
      </c>
      <c r="N12" s="10" t="str">
        <f>IF($O$7=TRUE,IF(J12=TRUE,50+E11,""),IF(J12=TRUE,E11,""))</f>
        <v/>
      </c>
      <c r="O12" s="10"/>
      <c r="P12" s="10"/>
      <c r="Q12" s="54"/>
      <c r="R12" s="54"/>
      <c r="S12" s="54"/>
      <c r="V12" s="11">
        <v>40</v>
      </c>
      <c r="W12" s="11">
        <v>40.14</v>
      </c>
      <c r="X12" s="11">
        <v>75</v>
      </c>
      <c r="Y12" s="11">
        <v>72.91</v>
      </c>
      <c r="Z12" s="11">
        <v>140</v>
      </c>
      <c r="AA12" s="11">
        <v>132</v>
      </c>
      <c r="AF12" s="55" t="s">
        <v>103</v>
      </c>
      <c r="AG12" s="56"/>
      <c r="AJ12" s="12" t="str">
        <f>IF(J12=TRUE,AF12,"")</f>
        <v/>
      </c>
    </row>
    <row r="13" spans="1:36">
      <c r="A13">
        <v>2</v>
      </c>
      <c r="B13" t="s">
        <v>2</v>
      </c>
      <c r="C13">
        <f>Sheet1!G5</f>
        <v>0.49699999999999994</v>
      </c>
      <c r="D13">
        <v>1.45</v>
      </c>
      <c r="E13" s="34">
        <v>12.5</v>
      </c>
      <c r="F13">
        <f t="shared" si="0"/>
        <v>0</v>
      </c>
      <c r="J13" s="20"/>
      <c r="K13" s="5"/>
      <c r="L13" s="5">
        <f>IF(AND(ISBLANK(K13)=FALSE,J14=TRUE),K13+$Q$7,K13)</f>
        <v>0</v>
      </c>
      <c r="M13" s="17">
        <v>0.875</v>
      </c>
      <c r="N13" s="10">
        <f>IF($P$7="twill",IF(L13=0,0,(IF(L13&lt;=24,V12,IF(L13&lt;=48,X12,IF(L13&gt;96,"Error",Z12))))),IF(L13=0,0,(IF(L13&lt;=24,W12,IF(L13&lt;=48,Y12,IF(L13&gt;96,"Error",AA12))))))</f>
        <v>0</v>
      </c>
      <c r="O13" s="10"/>
      <c r="P13" s="10"/>
      <c r="Q13" s="54"/>
      <c r="R13" s="54"/>
      <c r="S13" s="54"/>
      <c r="AC13" s="12" t="s">
        <v>60</v>
      </c>
      <c r="AD13" s="12" t="s">
        <v>120</v>
      </c>
      <c r="AE13" s="12" t="s">
        <v>121</v>
      </c>
      <c r="AF13" s="25" t="s">
        <v>122</v>
      </c>
      <c r="AG13" s="12" t="s">
        <v>77</v>
      </c>
      <c r="AH13" s="12" t="s">
        <v>78</v>
      </c>
      <c r="AI13" s="12" t="s">
        <v>79</v>
      </c>
      <c r="AJ13" s="12">
        <f>IF(L13=0,0,(IF($P$7="twill",IF(L13&lt;24,AG13,IF(L13&lt;48,AH13,IF(L13&gt;72,"Error",AI13))),IF($P$7="uni",IF(L13&lt;24,AD13,IF(L13&lt;48,AE13,IF(L13&gt;72,"Error",AF13))),""))))</f>
        <v>0</v>
      </c>
    </row>
    <row r="14" spans="1:36">
      <c r="F14">
        <f t="shared" si="0"/>
        <v>0</v>
      </c>
      <c r="I14" t="s">
        <v>2</v>
      </c>
      <c r="J14" s="21" t="b">
        <v>0</v>
      </c>
      <c r="N14" s="10" t="str">
        <f>IF($O$7=TRUE,IF(J14=TRUE,50+E13,""),IF(J14=TRUE,E13,""))</f>
        <v/>
      </c>
      <c r="O14" s="10"/>
      <c r="P14" s="10"/>
      <c r="Q14" s="54"/>
      <c r="R14" s="54"/>
      <c r="S14" s="54"/>
      <c r="V14" s="11">
        <v>46.25</v>
      </c>
      <c r="W14" s="11">
        <v>43</v>
      </c>
      <c r="X14" s="11">
        <v>87.5</v>
      </c>
      <c r="Y14" s="11">
        <v>48</v>
      </c>
      <c r="Z14" s="11">
        <v>165</v>
      </c>
      <c r="AA14" s="11">
        <v>96</v>
      </c>
      <c r="AF14" s="55" t="s">
        <v>104</v>
      </c>
      <c r="AG14" s="56"/>
      <c r="AJ14" s="12" t="str">
        <f>IF(J14=TRUE,AF14,"")</f>
        <v/>
      </c>
    </row>
    <row r="15" spans="1:36">
      <c r="A15">
        <v>3</v>
      </c>
      <c r="B15" t="s">
        <v>3</v>
      </c>
      <c r="C15">
        <f>Sheet1!G6</f>
        <v>0.57800000000000007</v>
      </c>
      <c r="D15">
        <v>1.64</v>
      </c>
      <c r="E15" s="34">
        <v>13.75</v>
      </c>
      <c r="F15">
        <f t="shared" si="0"/>
        <v>0</v>
      </c>
      <c r="J15" s="20"/>
      <c r="K15" s="5"/>
      <c r="L15" s="5">
        <f>IF(AND(ISBLANK(K15)=FALSE,J16=TRUE),K15+$Q$7,K15)</f>
        <v>0</v>
      </c>
      <c r="M15" s="17">
        <v>1</v>
      </c>
      <c r="N15" s="10">
        <f>IF($P$7="twill",IF(L15=0,0,(IF(L15&lt;=24,V14,IF(L15&lt;=48,X14,IF(L15&gt;96,"Error",Z14))))),IF(L15=0,0,(IF(L15&lt;=24,W14,IF(L15&lt;=48,Y14,IF(L15&gt;96,"Error",AA14))))))</f>
        <v>0</v>
      </c>
      <c r="O15" s="10"/>
      <c r="P15" s="10"/>
      <c r="Q15" s="54"/>
      <c r="R15" s="54"/>
      <c r="S15" s="54"/>
      <c r="AC15" s="12" t="s">
        <v>61</v>
      </c>
      <c r="AD15" s="12" t="s">
        <v>123</v>
      </c>
      <c r="AE15" s="12" t="s">
        <v>124</v>
      </c>
      <c r="AF15" s="25" t="s">
        <v>125</v>
      </c>
      <c r="AG15" s="12" t="s">
        <v>80</v>
      </c>
      <c r="AH15" s="12" t="s">
        <v>81</v>
      </c>
      <c r="AI15" s="12" t="s">
        <v>82</v>
      </c>
      <c r="AJ15" s="12">
        <f>IF(L15=0,0,(IF($P$7="twill",IF(L15&lt;24,AG15,IF(L15&lt;48,AH15,IF(L15&gt;72,"Error",AI15))),IF($P$7="uni",IF(L15&lt;24,AD15,IF(L15&lt;48,AE15,IF(L15&gt;72,"Error",AF15))),""))))</f>
        <v>0</v>
      </c>
    </row>
    <row r="16" spans="1:36">
      <c r="F16">
        <f t="shared" si="0"/>
        <v>0</v>
      </c>
      <c r="I16" t="s">
        <v>3</v>
      </c>
      <c r="J16" s="21" t="b">
        <v>0</v>
      </c>
      <c r="N16" s="10" t="str">
        <f>IF($O$7=TRUE,IF(J16=TRUE,50+E15,""),IF(J16=TRUE,E15,""))</f>
        <v/>
      </c>
      <c r="O16" s="10"/>
      <c r="P16" s="10"/>
      <c r="Q16" s="54"/>
      <c r="R16" s="54"/>
      <c r="S16" s="54"/>
      <c r="V16" s="11">
        <v>48.25</v>
      </c>
      <c r="W16" s="11">
        <v>36</v>
      </c>
      <c r="X16" s="11">
        <v>91.5</v>
      </c>
      <c r="Y16" s="11">
        <v>86.93</v>
      </c>
      <c r="Z16" s="11">
        <v>173</v>
      </c>
      <c r="AA16" s="11">
        <v>157.25</v>
      </c>
      <c r="AF16" s="55" t="s">
        <v>105</v>
      </c>
      <c r="AG16" s="56"/>
      <c r="AJ16" s="12" t="str">
        <f>IF(J16=TRUE,AF16,"")</f>
        <v/>
      </c>
    </row>
    <row r="17" spans="1:36">
      <c r="A17">
        <v>4</v>
      </c>
      <c r="B17" t="s">
        <v>4</v>
      </c>
      <c r="C17">
        <f>Sheet1!G7</f>
        <v>0.65700000000000003</v>
      </c>
      <c r="D17">
        <v>1.81</v>
      </c>
      <c r="E17" s="34">
        <v>14.5</v>
      </c>
      <c r="F17">
        <f t="shared" si="0"/>
        <v>0</v>
      </c>
      <c r="J17" s="20"/>
      <c r="K17" s="5"/>
      <c r="L17" s="5">
        <f>IF(AND(ISBLANK(K17)=FALSE,J18=TRUE),K17+$Q$7,K17)</f>
        <v>0</v>
      </c>
      <c r="M17" s="17">
        <v>1.125</v>
      </c>
      <c r="N17" s="10">
        <f>IF($P$7="twill",IF(L17=0,0,(IF(L17&lt;=24,V16,IF(L17&lt;=48,X16,IF(L17&gt;96,"Error",Z16))))),IF(L17=0,0,(IF(L17&lt;=24,W16,IF(L17&lt;=48,Y16,IF(L17&gt;96,"Error",AA16))))))</f>
        <v>0</v>
      </c>
      <c r="O17" s="10"/>
      <c r="P17" s="10"/>
      <c r="AC17" s="12" t="s">
        <v>62</v>
      </c>
      <c r="AD17" s="12" t="s">
        <v>126</v>
      </c>
      <c r="AE17" s="12" t="s">
        <v>127</v>
      </c>
      <c r="AF17" s="25" t="s">
        <v>128</v>
      </c>
      <c r="AG17" s="12" t="s">
        <v>83</v>
      </c>
      <c r="AH17" s="12" t="s">
        <v>84</v>
      </c>
      <c r="AI17" s="12" t="s">
        <v>85</v>
      </c>
      <c r="AJ17" s="12">
        <f>IF(L17=0,0,(IF($P$7="twill",IF(L17&lt;24,AG17,IF(L17&lt;48,AH17,IF(L17&gt;72,"Error",AI17))),IF($P$7="uni",IF(L17&lt;24,AD17,IF(L17&lt;48,AE17,IF(L17&gt;72,"Error",AF17))),""))))</f>
        <v>0</v>
      </c>
    </row>
    <row r="18" spans="1:36">
      <c r="F18">
        <f t="shared" si="0"/>
        <v>0</v>
      </c>
      <c r="I18" t="s">
        <v>4</v>
      </c>
      <c r="J18" s="21" t="b">
        <v>0</v>
      </c>
      <c r="N18" s="10" t="str">
        <f>IF($O$7=TRUE,IF(J18=TRUE,50+E17,""),IF(J18=TRUE,E17,""))</f>
        <v/>
      </c>
      <c r="O18" s="10"/>
      <c r="P18" s="10"/>
      <c r="V18" s="11">
        <v>50.75</v>
      </c>
      <c r="W18" s="11">
        <v>40</v>
      </c>
      <c r="X18" s="11">
        <v>96.5</v>
      </c>
      <c r="Y18" s="11">
        <v>89.5</v>
      </c>
      <c r="Z18" s="11">
        <v>183</v>
      </c>
      <c r="AA18" s="11">
        <v>170</v>
      </c>
      <c r="AF18" s="55" t="s">
        <v>106</v>
      </c>
      <c r="AG18" s="56"/>
      <c r="AJ18" s="12" t="str">
        <f>IF(J18=TRUE,AF18,"")</f>
        <v/>
      </c>
    </row>
    <row r="19" spans="1:36">
      <c r="A19">
        <v>5</v>
      </c>
      <c r="B19" t="s">
        <v>5</v>
      </c>
      <c r="C19">
        <f>Sheet1!G8</f>
        <v>0.7370000000000001</v>
      </c>
      <c r="D19">
        <v>2</v>
      </c>
      <c r="E19" s="34">
        <v>16.25</v>
      </c>
      <c r="F19">
        <f t="shared" si="0"/>
        <v>0</v>
      </c>
      <c r="J19" s="20"/>
      <c r="K19" s="5"/>
      <c r="L19" s="5">
        <f>IF(AND(ISBLANK(K19)=FALSE,J20=TRUE),K19+$Q$7,K19)</f>
        <v>0</v>
      </c>
      <c r="M19" s="17">
        <v>1.25</v>
      </c>
      <c r="N19" s="10">
        <f>IF($P$7="twill",IF(L19=0,0,(IF(L19&lt;=24,V18,IF(L19&lt;=48,X18,IF(L19&gt;96,"Error",Z18))))),IF(L19=0,0,(IF(L19&lt;=24,W18,IF(L19&lt;=48,Y18,IF(L19&gt;96,"Error",AA18))))))</f>
        <v>0</v>
      </c>
      <c r="O19" s="10"/>
      <c r="P19" s="10"/>
      <c r="AC19" s="12" t="s">
        <v>67</v>
      </c>
      <c r="AD19" s="12" t="s">
        <v>129</v>
      </c>
      <c r="AE19" s="12" t="s">
        <v>130</v>
      </c>
      <c r="AF19" s="25" t="s">
        <v>131</v>
      </c>
      <c r="AG19" s="12" t="s">
        <v>86</v>
      </c>
      <c r="AH19" s="12" t="s">
        <v>87</v>
      </c>
      <c r="AI19" s="12" t="s">
        <v>88</v>
      </c>
      <c r="AJ19" s="12">
        <f>IF(L19=0,0,(IF($P$7="twill",IF(L19&lt;24,AG19,IF(L19&lt;48,AH19,IF(L19&gt;72,"Error",AI19))),IF($P$7="uni",IF(L19&lt;24,AD19,IF(L19&lt;48,AE19,IF(L19&gt;72,"Error",AF19))),""))))</f>
        <v>0</v>
      </c>
    </row>
    <row r="20" spans="1:36">
      <c r="F20">
        <f t="shared" si="0"/>
        <v>0</v>
      </c>
      <c r="I20" t="s">
        <v>5</v>
      </c>
      <c r="J20" s="21"/>
      <c r="N20" s="10" t="str">
        <f>IF($O$7=TRUE,IF(J20=TRUE,50+E19,""),IF(J20=TRUE,E19,""))</f>
        <v/>
      </c>
      <c r="O20" s="10"/>
      <c r="P20" s="10"/>
      <c r="V20" s="11">
        <v>55.5</v>
      </c>
      <c r="W20" s="11">
        <v>57.24</v>
      </c>
      <c r="X20" s="11">
        <v>106</v>
      </c>
      <c r="Y20" s="11">
        <v>104.03</v>
      </c>
      <c r="Z20" s="11">
        <v>202</v>
      </c>
      <c r="AA20" s="11">
        <v>188.25</v>
      </c>
      <c r="AF20" s="55" t="s">
        <v>107</v>
      </c>
      <c r="AG20" s="56"/>
      <c r="AJ20" s="12" t="str">
        <f>IF(J20=TRUE,AF20,"")</f>
        <v/>
      </c>
    </row>
    <row r="21" spans="1:36">
      <c r="A21">
        <v>6</v>
      </c>
      <c r="B21" t="s">
        <v>6</v>
      </c>
      <c r="C21">
        <f>Sheet1!G9</f>
        <v>0.81400000000000006</v>
      </c>
      <c r="D21">
        <v>2.17</v>
      </c>
      <c r="E21" s="34">
        <v>19.5</v>
      </c>
      <c r="F21">
        <f t="shared" si="0"/>
        <v>0</v>
      </c>
      <c r="J21" s="20"/>
      <c r="K21" s="5"/>
      <c r="L21" s="5">
        <f>IF(AND(ISBLANK(K21)=FALSE,J22=TRUE),K21+$Q$7,K21)</f>
        <v>0</v>
      </c>
      <c r="M21" s="17">
        <v>1.375</v>
      </c>
      <c r="N21" s="10">
        <f>IF($P$7="twill",IF(L21=0,0,(IF(L21&lt;=24,V20,IF(L21&lt;=48,X20,IF(L21&gt;96,"Error",Z20))))),IF(L21=0,0,(IF(L21&lt;=24,W20,IF(L21&lt;=48,Y20,IF(L21&gt;96,"Error",AA20))))))</f>
        <v>0</v>
      </c>
      <c r="O21" s="10"/>
      <c r="P21" s="10"/>
      <c r="AC21" s="12" t="s">
        <v>63</v>
      </c>
      <c r="AD21" s="12" t="s">
        <v>132</v>
      </c>
      <c r="AE21" s="12" t="s">
        <v>133</v>
      </c>
      <c r="AF21" s="25" t="s">
        <v>134</v>
      </c>
      <c r="AG21" s="12" t="s">
        <v>89</v>
      </c>
      <c r="AH21" s="12" t="s">
        <v>90</v>
      </c>
      <c r="AI21" s="12" t="s">
        <v>91</v>
      </c>
      <c r="AJ21" s="12">
        <f>IF(L21=0,0,(IF($P$7="twill",IF(L21&lt;24,AG21,IF(L21&lt;48,AH21,IF(L21&gt;72,"Error",AI21))),IF($P$7="uni",IF(L21&lt;24,AD21,IF(L21&lt;48,AE21,IF(L21&gt;72,"Error",AF21))),""))))</f>
        <v>0</v>
      </c>
    </row>
    <row r="22" spans="1:36">
      <c r="F22">
        <f t="shared" si="0"/>
        <v>0</v>
      </c>
      <c r="I22" t="s">
        <v>6</v>
      </c>
      <c r="J22" s="21"/>
      <c r="N22" s="10" t="str">
        <f>IF($O$7=TRUE,IF(J22=TRUE,50+E21,""),IF(J22=TRUE,E21,""))</f>
        <v/>
      </c>
      <c r="O22" s="10"/>
      <c r="P22" s="10"/>
      <c r="V22" s="11">
        <v>59.75</v>
      </c>
      <c r="W22" s="11">
        <v>54</v>
      </c>
      <c r="X22" s="11">
        <v>114.5</v>
      </c>
      <c r="Y22" s="11">
        <v>103.5</v>
      </c>
      <c r="Z22" s="11">
        <v>219</v>
      </c>
      <c r="AA22" s="11">
        <v>198</v>
      </c>
      <c r="AF22" s="55" t="s">
        <v>108</v>
      </c>
      <c r="AG22" s="56"/>
      <c r="AJ22" s="12" t="str">
        <f>IF(J22=TRUE,AF22,"")</f>
        <v/>
      </c>
    </row>
    <row r="23" spans="1:36">
      <c r="A23">
        <v>7</v>
      </c>
      <c r="B23" t="s">
        <v>7</v>
      </c>
      <c r="C23">
        <f>Sheet1!G10</f>
        <v>0.89699999999999991</v>
      </c>
      <c r="D23">
        <v>2.36</v>
      </c>
      <c r="E23" s="34">
        <v>21.75</v>
      </c>
      <c r="F23">
        <f t="shared" si="0"/>
        <v>0</v>
      </c>
      <c r="J23" s="20"/>
      <c r="K23" s="5"/>
      <c r="L23" s="5">
        <f>IF(AND(ISBLANK(K23)=FALSE,J24=TRUE),K23+$Q$7,K23)</f>
        <v>0</v>
      </c>
      <c r="M23" s="17">
        <v>1.5</v>
      </c>
      <c r="N23" s="10">
        <f>IF($P$7="twill",IF(L23=0,0,(IF(L23&lt;=24,V22,IF(L23&lt;=48,X22,IF(L23&gt;96,"Error",Z22))))),IF(L23=0,0,(IF(L23&lt;=24,W22,IF(L23&lt;=48,Y22,IF(L23&gt;96,"Error",AA22))))))</f>
        <v>0</v>
      </c>
      <c r="O23" s="10"/>
      <c r="P23" s="10"/>
      <c r="AC23" s="12" t="s">
        <v>64</v>
      </c>
      <c r="AD23" s="12" t="s">
        <v>135</v>
      </c>
      <c r="AE23" s="12" t="s">
        <v>137</v>
      </c>
      <c r="AF23" s="25" t="s">
        <v>136</v>
      </c>
      <c r="AG23" s="12" t="s">
        <v>92</v>
      </c>
      <c r="AH23" s="12" t="s">
        <v>93</v>
      </c>
      <c r="AI23" s="12" t="s">
        <v>94</v>
      </c>
      <c r="AJ23" s="12">
        <f>IF(L23=0,0,(IF($P$7="twill",IF(L23&lt;24,AG23,IF(L23&lt;48,AH23,IF(L23&gt;72,"Error",AI23))),IF($P$7="uni",IF(L23&lt;24,AD23,IF(L23&lt;48,AE23,IF(L23&gt;72,"Error",AF23))),""))))</f>
        <v>0</v>
      </c>
    </row>
    <row r="24" spans="1:36">
      <c r="F24">
        <f t="shared" si="0"/>
        <v>0</v>
      </c>
      <c r="I24" t="s">
        <v>7</v>
      </c>
      <c r="J24" s="21"/>
      <c r="N24" s="10" t="str">
        <f>IF($O$7=TRUE,IF(J24=TRUE,50+E23,""),IF(J24=TRUE,E23,""))</f>
        <v/>
      </c>
      <c r="O24" s="10"/>
      <c r="P24" s="10"/>
      <c r="V24" s="11">
        <v>62</v>
      </c>
      <c r="W24" s="11">
        <v>57</v>
      </c>
      <c r="X24" s="11">
        <v>119</v>
      </c>
      <c r="Y24" s="11">
        <v>108.75</v>
      </c>
      <c r="Z24" s="11">
        <v>228</v>
      </c>
      <c r="AA24" s="11">
        <v>207.5</v>
      </c>
      <c r="AF24" s="55" t="s">
        <v>109</v>
      </c>
      <c r="AG24" s="56"/>
      <c r="AJ24" s="12" t="str">
        <f>IF(J24=TRUE,AF24,"")</f>
        <v/>
      </c>
    </row>
    <row r="25" spans="1:36">
      <c r="A25">
        <v>8</v>
      </c>
      <c r="B25" t="s">
        <v>8</v>
      </c>
      <c r="C25">
        <f>Sheet1!G11</f>
        <v>0.97599999999999998</v>
      </c>
      <c r="D25">
        <v>2.5</v>
      </c>
      <c r="E25" s="34">
        <v>24.5</v>
      </c>
      <c r="F25">
        <f t="shared" si="0"/>
        <v>0</v>
      </c>
      <c r="J25" s="20"/>
      <c r="K25" s="5"/>
      <c r="L25" s="5">
        <f>IF(AND(ISBLANK(K25)=FALSE,J26=TRUE),K25+$Q$7,K25)</f>
        <v>0</v>
      </c>
      <c r="M25" s="17">
        <v>1.625</v>
      </c>
      <c r="N25" s="10">
        <f>IF($P$7="twill",IF(L25=0,0,(IF(L25&lt;=24,V24,IF(L25&lt;=48,X24,IF(L25&gt;96,"Error",Z24))))),IF(L25=0,0,(IF(L25&lt;=24,W24,IF(L25&lt;=48,Y24,IF(L25&gt;96,"Error",AA24))))))</f>
        <v>0</v>
      </c>
      <c r="O25" s="10"/>
      <c r="P25" s="10"/>
      <c r="AC25" s="12" t="s">
        <v>65</v>
      </c>
      <c r="AF25" s="25"/>
      <c r="AG25" s="12" t="s">
        <v>95</v>
      </c>
      <c r="AH25" s="12" t="s">
        <v>96</v>
      </c>
      <c r="AI25" s="12" t="s">
        <v>97</v>
      </c>
      <c r="AJ25" s="12">
        <f>IF(L25=0,0,(IF($P$7="twill",IF(L25&lt;24,AG25,IF(L25&lt;48,AH25,IF(L25&gt;72,"Error",AI25))),IF($P$7="uni",IF(L25&lt;24,AD25,IF(L25&lt;48,AE25,IF(L25&gt;72,"Error",AF25))),""))))</f>
        <v>0</v>
      </c>
    </row>
    <row r="26" spans="1:36">
      <c r="I26" t="s">
        <v>8</v>
      </c>
      <c r="J26" s="21"/>
      <c r="N26" s="10" t="str">
        <f>IF($O$7=TRUE,IF(J26=TRUE,50+E25,""),IF(J26=TRUE,E25,""))</f>
        <v/>
      </c>
      <c r="O26" s="10"/>
      <c r="P26" s="10"/>
      <c r="V26" s="11">
        <v>64.25</v>
      </c>
      <c r="W26" s="11">
        <v>59</v>
      </c>
      <c r="X26" s="11">
        <v>123.5</v>
      </c>
      <c r="Y26" s="11">
        <v>112.75</v>
      </c>
      <c r="Z26" s="11">
        <v>237</v>
      </c>
      <c r="AA26" s="11">
        <v>215.5</v>
      </c>
      <c r="AF26" s="55" t="s">
        <v>110</v>
      </c>
      <c r="AG26" s="56"/>
      <c r="AJ26" s="12" t="str">
        <f>IF(J26=TRUE,AF26,"")</f>
        <v/>
      </c>
    </row>
    <row r="27" spans="1:36">
      <c r="H27" s="4" t="s">
        <v>23</v>
      </c>
      <c r="K27" s="5"/>
      <c r="L27" s="5">
        <f>IF(J28=TRUE,K27+$Q$7,K27)</f>
        <v>0</v>
      </c>
      <c r="M27" s="17">
        <v>1.75</v>
      </c>
      <c r="N27" s="10">
        <f>IF($P$7="twill",IF(L27=0,0,(IF(L27&lt;=24,V26,IF(L27&lt;=48,X26,IF(L27&gt;96,"Error",Z26))))),IF(L27=0,0,(IF(L27&lt;=24,W26,IF(L27&lt;=48,Y26,IF(L27&gt;96,"Error",AA26))))))</f>
        <v>0</v>
      </c>
      <c r="O27" s="10"/>
      <c r="P27" s="10"/>
      <c r="AC27" s="12" t="s">
        <v>66</v>
      </c>
      <c r="AF27" s="25"/>
      <c r="AG27" s="12" t="s">
        <v>98</v>
      </c>
      <c r="AH27" s="12" t="s">
        <v>99</v>
      </c>
      <c r="AI27" s="12" t="s">
        <v>100</v>
      </c>
      <c r="AJ27" s="12">
        <f>IF(L27=0,0,(IF($P$7="twill",IF(L27&lt;24,AG27,IF(L27&lt;48,AH27,IF(L27&gt;72,"Error",AI27))),IF($P$7="uni",IF(L27&lt;24,AD27,IF(L27&lt;48,AE27,IF(L27&gt;72,"Error",AF27))),""))))</f>
        <v>0</v>
      </c>
    </row>
  </sheetData>
  <mergeCells count="14">
    <mergeCell ref="AF18:AG18"/>
    <mergeCell ref="AF20:AG20"/>
    <mergeCell ref="AF22:AG22"/>
    <mergeCell ref="AF24:AG24"/>
    <mergeCell ref="AF26:AG26"/>
    <mergeCell ref="G1:T4"/>
    <mergeCell ref="Q10:S16"/>
    <mergeCell ref="AD5:AF5"/>
    <mergeCell ref="AG5:AI5"/>
    <mergeCell ref="AF8:AG8"/>
    <mergeCell ref="AF10:AG10"/>
    <mergeCell ref="AF12:AG12"/>
    <mergeCell ref="AF14:AG14"/>
    <mergeCell ref="AF16:AG16"/>
  </mergeCells>
  <dataValidations count="1">
    <dataValidation type="list" allowBlank="1" showInputMessage="1" showErrorMessage="1" sqref="P7">
      <formula1>TubeTypes</formula1>
    </dataValidation>
  </dataValidations>
  <hyperlinks>
    <hyperlink ref="AH7" r:id="rId1"/>
    <hyperlink ref="AF8" r:id="rId2"/>
    <hyperlink ref="AF10" r:id="rId3"/>
    <hyperlink ref="AF12" r:id="rId4"/>
    <hyperlink ref="AF14" r:id="rId5"/>
    <hyperlink ref="AF16" r:id="rId6"/>
    <hyperlink ref="AF18" r:id="rId7"/>
    <hyperlink ref="AF20" r:id="rId8"/>
    <hyperlink ref="AF22" r:id="rId9"/>
    <hyperlink ref="AF24" r:id="rId10"/>
    <hyperlink ref="AF26" r:id="rId11"/>
    <hyperlink ref="AD7" r:id="rId12"/>
  </hyperlinks>
  <pageMargins left="0.7" right="0.7" top="0.75" bottom="0.75" header="0.3" footer="0.3"/>
  <pageSetup orientation="portrait" r:id="rId13"/>
  <drawing r:id="rId14"/>
  <legacyDrawing r:id="rId15"/>
</worksheet>
</file>

<file path=xl/worksheets/sheet4.xml><?xml version="1.0" encoding="utf-8"?>
<worksheet xmlns="http://schemas.openxmlformats.org/spreadsheetml/2006/main" xmlns:r="http://schemas.openxmlformats.org/officeDocument/2006/relationships">
  <sheetPr codeName="Sheet11"/>
  <dimension ref="A1:AB22"/>
  <sheetViews>
    <sheetView topLeftCell="G1" workbookViewId="0">
      <selection activeCell="R22" sqref="R22"/>
    </sheetView>
  </sheetViews>
  <sheetFormatPr defaultRowHeight="15"/>
  <cols>
    <col min="1" max="1" width="0" hidden="1" customWidth="1"/>
    <col min="2" max="2" width="9.7109375" hidden="1" customWidth="1"/>
    <col min="3" max="3" width="13.85546875" hidden="1" customWidth="1"/>
    <col min="4" max="4" width="6.85546875" hidden="1" customWidth="1"/>
    <col min="5" max="6" width="8.42578125" hidden="1" customWidth="1"/>
    <col min="7" max="7" width="9.140625" customWidth="1"/>
    <col min="9" max="9" width="11.7109375" bestFit="1" customWidth="1"/>
    <col min="11" max="11" width="11.5703125" bestFit="1" customWidth="1"/>
    <col min="12" max="12" width="11.5703125" customWidth="1"/>
    <col min="14" max="14" width="16.5703125" style="34" customWidth="1"/>
    <col min="15" max="15" width="13.42578125" customWidth="1"/>
    <col min="16" max="16" width="19.5703125" bestFit="1" customWidth="1"/>
    <col min="17" max="17" width="16.85546875" bestFit="1" customWidth="1"/>
    <col min="18" max="19" width="14.5703125" bestFit="1" customWidth="1"/>
    <col min="22" max="28" width="9.140625" hidden="1" customWidth="1"/>
  </cols>
  <sheetData>
    <row r="1" spans="1:28">
      <c r="G1" s="58" t="s">
        <v>43</v>
      </c>
      <c r="H1" s="59"/>
      <c r="I1" s="59"/>
      <c r="J1" s="59"/>
      <c r="K1" s="59"/>
      <c r="L1" s="59"/>
      <c r="M1" s="59"/>
      <c r="N1" s="59"/>
      <c r="O1" s="59"/>
      <c r="P1" s="59"/>
      <c r="Q1" s="59"/>
      <c r="R1" s="59"/>
      <c r="S1" s="60"/>
    </row>
    <row r="2" spans="1:28" ht="15.75" customHeight="1">
      <c r="G2" s="61"/>
      <c r="H2" s="62"/>
      <c r="I2" s="62"/>
      <c r="J2" s="62"/>
      <c r="K2" s="62"/>
      <c r="L2" s="62"/>
      <c r="M2" s="62"/>
      <c r="N2" s="62"/>
      <c r="O2" s="62"/>
      <c r="P2" s="62"/>
      <c r="Q2" s="62"/>
      <c r="R2" s="62"/>
      <c r="S2" s="63"/>
      <c r="X2" s="12"/>
      <c r="Y2" s="12"/>
      <c r="Z2" s="12"/>
      <c r="AA2" s="12"/>
      <c r="AB2" s="12"/>
    </row>
    <row r="3" spans="1:28" ht="15.75" thickBot="1">
      <c r="G3" s="64"/>
      <c r="H3" s="65"/>
      <c r="I3" s="65"/>
      <c r="J3" s="65"/>
      <c r="K3" s="65"/>
      <c r="L3" s="65"/>
      <c r="M3" s="65"/>
      <c r="N3" s="65"/>
      <c r="O3" s="65"/>
      <c r="P3" s="65"/>
      <c r="Q3" s="65"/>
      <c r="R3" s="65"/>
      <c r="S3" s="66"/>
      <c r="X3" s="12"/>
      <c r="Y3" s="12"/>
      <c r="Z3" s="12"/>
      <c r="AA3" s="12"/>
      <c r="AB3" s="12"/>
    </row>
    <row r="4" spans="1:28" ht="25.5" customHeight="1">
      <c r="X4" s="12"/>
      <c r="Y4" s="12"/>
      <c r="Z4" s="12"/>
      <c r="AA4" s="12"/>
      <c r="AB4" s="12"/>
    </row>
    <row r="5" spans="1:28">
      <c r="B5" s="1" t="s">
        <v>12</v>
      </c>
      <c r="C5" s="1"/>
      <c r="D5" s="1"/>
      <c r="E5" s="8"/>
      <c r="J5" s="1" t="s">
        <v>21</v>
      </c>
      <c r="K5" s="1"/>
      <c r="L5" s="8"/>
      <c r="N5" s="34" t="s">
        <v>200</v>
      </c>
      <c r="O5" t="s">
        <v>32</v>
      </c>
      <c r="P5" t="s">
        <v>46</v>
      </c>
      <c r="Q5" s="1" t="s">
        <v>40</v>
      </c>
      <c r="R5" s="1" t="s">
        <v>25</v>
      </c>
      <c r="S5" s="1" t="s">
        <v>26</v>
      </c>
    </row>
    <row r="6" spans="1:28" ht="29.25" customHeight="1">
      <c r="A6" s="2" t="s">
        <v>9</v>
      </c>
      <c r="B6" s="2" t="s">
        <v>13</v>
      </c>
      <c r="C6" s="2" t="s">
        <v>10</v>
      </c>
      <c r="D6" s="2" t="s">
        <v>11</v>
      </c>
      <c r="E6" s="13" t="s">
        <v>41</v>
      </c>
      <c r="H6" s="4" t="s">
        <v>24</v>
      </c>
      <c r="I6" s="4"/>
      <c r="J6" s="7" t="s">
        <v>22</v>
      </c>
      <c r="K6" s="6" t="s">
        <v>28</v>
      </c>
      <c r="L6" s="9" t="s">
        <v>31</v>
      </c>
      <c r="M6" s="8" t="s">
        <v>27</v>
      </c>
      <c r="N6" s="42" t="b">
        <v>0</v>
      </c>
      <c r="O6" s="15" t="s">
        <v>33</v>
      </c>
      <c r="P6" s="16">
        <v>1</v>
      </c>
      <c r="Q6" s="17">
        <f>SUM(L7:L21)</f>
        <v>0</v>
      </c>
      <c r="R6" s="17">
        <f>SUM(K7:K21)</f>
        <v>0</v>
      </c>
      <c r="S6" s="17">
        <f>MAX(K7:K21)+SUMPRODUCT(F7:F19,E7:E19)</f>
        <v>0</v>
      </c>
      <c r="T6" t="s">
        <v>44</v>
      </c>
      <c r="Y6" t="s">
        <v>22</v>
      </c>
      <c r="Z6">
        <v>24</v>
      </c>
      <c r="AA6">
        <v>48</v>
      </c>
      <c r="AB6">
        <v>96</v>
      </c>
    </row>
    <row r="7" spans="1:28">
      <c r="A7" s="3">
        <v>1</v>
      </c>
      <c r="B7" t="s">
        <v>14</v>
      </c>
      <c r="C7">
        <v>2.76</v>
      </c>
      <c r="D7">
        <v>1.2569999999999999</v>
      </c>
      <c r="E7">
        <v>1.2749999999999999</v>
      </c>
      <c r="F7" t="str">
        <f t="shared" ref="F7:F19" si="0">IF(J8=TRUE,1,"")</f>
        <v/>
      </c>
      <c r="J7" s="20"/>
      <c r="K7" s="5"/>
      <c r="L7" s="5">
        <f>IF(AND(J8=TRUE,ISBLANK(K7)=FALSE),K7+$P$6,K7)</f>
        <v>0</v>
      </c>
      <c r="M7" s="17">
        <v>0.625</v>
      </c>
      <c r="N7" s="8"/>
      <c r="Q7" s="17">
        <f>Q6/12</f>
        <v>0</v>
      </c>
      <c r="R7" s="17">
        <f>R6/12</f>
        <v>0</v>
      </c>
      <c r="S7" s="17">
        <f>S6/12</f>
        <v>0</v>
      </c>
      <c r="T7" t="s">
        <v>45</v>
      </c>
      <c r="V7" t="b">
        <f>IF(L7&gt;K7,TRUE,FALSE)</f>
        <v>0</v>
      </c>
      <c r="W7" t="str">
        <f>IF(L7=0,"",IF(L7&gt;48,AB7,IF(L7&lt;=24,Z7,AA7)))</f>
        <v/>
      </c>
      <c r="X7" t="s">
        <v>33</v>
      </c>
      <c r="Z7">
        <v>26.5</v>
      </c>
      <c r="AA7">
        <v>48</v>
      </c>
      <c r="AB7">
        <v>86</v>
      </c>
    </row>
    <row r="8" spans="1:28" ht="15" customHeight="1">
      <c r="A8" s="3"/>
      <c r="F8" t="str">
        <f t="shared" si="0"/>
        <v/>
      </c>
      <c r="I8" t="s">
        <v>14</v>
      </c>
      <c r="J8" s="21" t="b">
        <v>0</v>
      </c>
      <c r="O8" s="57" t="str">
        <f>IF(SUM(K7:K21)=0,"",IF(MAX(L7:L21)&gt;MAX(K7:K21),"ERROR:  CHECK TUBE LENGTHS.  ACTUAL TUBE LENGTH LONGER THAN BASE TUBE",""))</f>
        <v/>
      </c>
      <c r="P8" s="57"/>
      <c r="W8">
        <f>IF($N$6=TRUE,IF($O$6="yes",J8*((Y8+2)+50),J8*(Y8+50)),IF($O$6="yes",J8*(Y8+2),J8*Y8))</f>
        <v>0</v>
      </c>
      <c r="X8" t="s">
        <v>34</v>
      </c>
      <c r="Y8">
        <v>12</v>
      </c>
    </row>
    <row r="9" spans="1:28">
      <c r="A9" s="3">
        <v>125</v>
      </c>
      <c r="B9" t="s">
        <v>15</v>
      </c>
      <c r="C9">
        <v>2.76</v>
      </c>
      <c r="D9">
        <v>1.51</v>
      </c>
      <c r="E9">
        <v>1.2849999999999999</v>
      </c>
      <c r="F9" t="str">
        <f t="shared" si="0"/>
        <v/>
      </c>
      <c r="I9" t="s">
        <v>35</v>
      </c>
      <c r="J9" s="20"/>
      <c r="K9" s="5"/>
      <c r="L9" s="5">
        <f>IF(AND(J10=TRUE,ISBLANK(K9)=FALSE),K9+$P$6,K9)</f>
        <v>0</v>
      </c>
      <c r="M9" s="17">
        <v>0.875</v>
      </c>
      <c r="N9" s="8"/>
      <c r="O9" s="57"/>
      <c r="P9" s="57"/>
      <c r="R9" s="1" t="s">
        <v>42</v>
      </c>
      <c r="V9" t="b">
        <f>IF(L9&gt;K9,TRUE,FALSE)</f>
        <v>0</v>
      </c>
      <c r="W9" t="str">
        <f>IF(L9=0,"",IF(L9&gt;48,AB9,IF(L9&lt;=24,Z9,AA9)))</f>
        <v/>
      </c>
      <c r="Z9">
        <v>40.75</v>
      </c>
      <c r="AA9">
        <v>76.5</v>
      </c>
      <c r="AB9">
        <v>143</v>
      </c>
    </row>
    <row r="10" spans="1:28">
      <c r="A10" s="3"/>
      <c r="F10" t="str">
        <f t="shared" si="0"/>
        <v/>
      </c>
      <c r="I10" t="s">
        <v>15</v>
      </c>
      <c r="J10" s="21" t="b">
        <v>0</v>
      </c>
      <c r="O10" s="57"/>
      <c r="P10" s="57"/>
      <c r="R10" s="19">
        <f>SUM(W7:W21)</f>
        <v>0</v>
      </c>
      <c r="W10" s="34">
        <f>IF($N$6=TRUE,IF($O$6="yes",J10*((Y10+2)+50),J10*(Y10+50)),IF($O$6="yes",J10*(Y10+2),J10*Y10))</f>
        <v>0</v>
      </c>
      <c r="Y10">
        <f>Y8+0.25</f>
        <v>12.25</v>
      </c>
    </row>
    <row r="11" spans="1:28">
      <c r="A11" s="3">
        <v>150</v>
      </c>
      <c r="B11" t="s">
        <v>16</v>
      </c>
      <c r="C11">
        <v>3.2</v>
      </c>
      <c r="D11">
        <v>1.82</v>
      </c>
      <c r="E11">
        <v>1.42</v>
      </c>
      <c r="F11" t="str">
        <f t="shared" si="0"/>
        <v/>
      </c>
      <c r="I11" t="s">
        <v>35</v>
      </c>
      <c r="J11" s="20"/>
      <c r="K11" s="5"/>
      <c r="L11" s="5">
        <f>IF(AND(J12=TRUE,ISBLANK(K11)=FALSE),K11+$P$6,K11)</f>
        <v>0</v>
      </c>
      <c r="M11" s="17">
        <v>1.125</v>
      </c>
      <c r="N11" s="8"/>
      <c r="O11" s="57"/>
      <c r="P11" s="57"/>
      <c r="V11" t="b">
        <f>IF(L11&gt;K11,TRUE,FALSE)</f>
        <v>0</v>
      </c>
      <c r="W11" t="str">
        <f>IF(L11=0,"",IF(L11&gt;48,AB11,IF(L11&lt;=24,Z11,AA11)))</f>
        <v/>
      </c>
      <c r="Z11">
        <v>49.5</v>
      </c>
      <c r="AA11">
        <v>94.25</v>
      </c>
      <c r="AB11">
        <v>178.25</v>
      </c>
    </row>
    <row r="12" spans="1:28">
      <c r="A12" s="3"/>
      <c r="F12" t="str">
        <f t="shared" si="0"/>
        <v/>
      </c>
      <c r="I12" t="s">
        <v>16</v>
      </c>
      <c r="J12" s="21" t="b">
        <v>0</v>
      </c>
      <c r="O12" s="57"/>
      <c r="P12" s="57"/>
      <c r="W12" s="34">
        <f>IF($N$6=TRUE,IF($O$6="yes",J12*((Y12+2)+50),J12*(Y12+50)),IF($O$6="yes",J12*(Y12+2),J12*Y12))</f>
        <v>0</v>
      </c>
      <c r="Y12">
        <f t="shared" ref="Y12" si="1">Y10+0.25</f>
        <v>12.5</v>
      </c>
    </row>
    <row r="13" spans="1:28">
      <c r="A13" s="3">
        <v>175</v>
      </c>
      <c r="B13" t="s">
        <v>17</v>
      </c>
      <c r="C13">
        <v>3.49</v>
      </c>
      <c r="D13">
        <v>2.11</v>
      </c>
      <c r="E13">
        <v>1.4650000000000001</v>
      </c>
      <c r="F13" t="str">
        <f t="shared" si="0"/>
        <v/>
      </c>
      <c r="I13" t="s">
        <v>35</v>
      </c>
      <c r="J13" s="20"/>
      <c r="K13" s="5"/>
      <c r="L13" s="5">
        <f>IF(AND(J14=TRUE,ISBLANK(K13)=FALSE),K13+$P$6,K13)</f>
        <v>0</v>
      </c>
      <c r="M13" s="17">
        <v>1.375</v>
      </c>
      <c r="N13" s="8"/>
      <c r="O13" s="57"/>
      <c r="P13" s="57"/>
      <c r="V13" t="b">
        <f>IF(L13&gt;K13,TRUE,FALSE)</f>
        <v>0</v>
      </c>
      <c r="W13" t="str">
        <f>IF(L13=0,"",IF(L13&gt;48,AB13,IF(L13&lt;=24,Z13,AA13)))</f>
        <v/>
      </c>
      <c r="Z13">
        <v>56.75</v>
      </c>
      <c r="AA13">
        <v>108.5</v>
      </c>
      <c r="AB13">
        <v>207</v>
      </c>
    </row>
    <row r="14" spans="1:28">
      <c r="A14" s="3"/>
      <c r="F14" t="str">
        <f t="shared" si="0"/>
        <v/>
      </c>
      <c r="I14" t="s">
        <v>17</v>
      </c>
      <c r="J14" s="21" t="b">
        <v>0</v>
      </c>
      <c r="O14" s="57"/>
      <c r="P14" s="57"/>
      <c r="W14" s="34">
        <f>IF($N$6=TRUE,IF($O$6="yes",J14*((Y14+2)+50),J14*(Y14+50)),IF($O$6="yes",J14*(Y14+2),J14*Y14))</f>
        <v>0</v>
      </c>
      <c r="Y14">
        <f t="shared" ref="Y14" si="2">Y12+0.25</f>
        <v>12.75</v>
      </c>
    </row>
    <row r="15" spans="1:28">
      <c r="A15" s="3">
        <v>2</v>
      </c>
      <c r="B15" t="s">
        <v>18</v>
      </c>
      <c r="C15">
        <v>3.77</v>
      </c>
      <c r="D15">
        <v>2.3849999999999998</v>
      </c>
      <c r="E15">
        <v>1.6</v>
      </c>
      <c r="F15" t="str">
        <f t="shared" si="0"/>
        <v/>
      </c>
      <c r="I15" t="s">
        <v>35</v>
      </c>
      <c r="J15" s="20"/>
      <c r="K15" s="5"/>
      <c r="L15" s="5">
        <f>IF(AND(J16=TRUE,ISBLANK(K15)=FALSE),K15+$P$6,K15)</f>
        <v>0</v>
      </c>
      <c r="M15" s="17">
        <v>1.625</v>
      </c>
      <c r="N15" s="8"/>
      <c r="V15" t="b">
        <f>IF(L15&gt;K15,TRUE,FALSE)</f>
        <v>0</v>
      </c>
      <c r="W15" t="str">
        <f>IF(L15=0,"",IF(L15&gt;48,AB15,IF(L15&lt;=24,Z15,AA15)))</f>
        <v/>
      </c>
      <c r="Z15">
        <v>36.75</v>
      </c>
      <c r="AA15">
        <v>122.5</v>
      </c>
      <c r="AB15">
        <v>234.75</v>
      </c>
    </row>
    <row r="16" spans="1:28">
      <c r="A16" s="3"/>
      <c r="F16" t="str">
        <f t="shared" si="0"/>
        <v/>
      </c>
      <c r="I16" t="s">
        <v>18</v>
      </c>
      <c r="J16" s="21" t="b">
        <v>0</v>
      </c>
      <c r="W16" s="34">
        <f>IF($N$6=TRUE,IF($O$6="yes",J16*((Y16+2)+50),J16*(Y16+50)),IF($O$6="yes",J16*(Y16+2),J16*Y16))</f>
        <v>0</v>
      </c>
      <c r="Y16">
        <f t="shared" ref="Y16" si="3">Y14+0.25</f>
        <v>13</v>
      </c>
    </row>
    <row r="17" spans="1:28">
      <c r="A17" s="3">
        <v>225</v>
      </c>
      <c r="B17" t="s">
        <v>19</v>
      </c>
      <c r="C17">
        <v>4.13</v>
      </c>
      <c r="D17">
        <v>2.71</v>
      </c>
      <c r="E17">
        <v>1.76</v>
      </c>
      <c r="F17" t="str">
        <f t="shared" si="0"/>
        <v/>
      </c>
      <c r="I17" t="s">
        <v>35</v>
      </c>
      <c r="J17" s="20"/>
      <c r="K17" s="5"/>
      <c r="L17" s="5">
        <f>IF(AND(J18=TRUE,ISBLANK(K17)=FALSE),K17+$P$6,K17)</f>
        <v>0</v>
      </c>
      <c r="M17" s="17">
        <v>1.875</v>
      </c>
      <c r="N17" s="8"/>
      <c r="V17" t="b">
        <f>IF(L17&gt;K17,TRUE,FALSE)</f>
        <v>0</v>
      </c>
      <c r="W17" t="str">
        <f>IF(L17=0,"",IF(L17&gt;48,AB17,IF(L17&lt;=24,Z17,AA17)))</f>
        <v/>
      </c>
      <c r="Z17">
        <v>72</v>
      </c>
      <c r="AA17">
        <v>139</v>
      </c>
      <c r="AB17">
        <v>268</v>
      </c>
    </row>
    <row r="18" spans="1:28">
      <c r="A18" s="3"/>
      <c r="F18" t="str">
        <f t="shared" si="0"/>
        <v/>
      </c>
      <c r="I18" t="s">
        <v>19</v>
      </c>
      <c r="J18" s="21" t="b">
        <v>0</v>
      </c>
      <c r="W18" s="34">
        <f>IF($N$6=TRUE,IF($O$6="yes",J18*((Y18+2)+50),J18*(Y18+50)),IF($O$6="yes",J18*(Y18+2),J18*Y18))</f>
        <v>0</v>
      </c>
      <c r="Y18">
        <f t="shared" ref="Y18" si="4">Y16+0.25</f>
        <v>13.25</v>
      </c>
    </row>
    <row r="19" spans="1:28">
      <c r="A19" s="3">
        <v>250</v>
      </c>
      <c r="B19" t="s">
        <v>20</v>
      </c>
      <c r="C19">
        <v>4.38</v>
      </c>
      <c r="D19">
        <v>2.9649999999999999</v>
      </c>
      <c r="E19">
        <v>1.76</v>
      </c>
      <c r="F19" t="str">
        <f t="shared" si="0"/>
        <v/>
      </c>
      <c r="I19" t="s">
        <v>35</v>
      </c>
      <c r="J19" s="20"/>
      <c r="K19" s="5"/>
      <c r="L19" s="5">
        <f>IF(AND(J20=TRUE,ISBLANK(K19)=FALSE),K19+$P$6,K19)</f>
        <v>0</v>
      </c>
      <c r="M19" s="17">
        <v>2.125</v>
      </c>
      <c r="N19" s="8"/>
      <c r="V19" t="b">
        <f>IF(L19&gt;K19,TRUE,FALSE)</f>
        <v>0</v>
      </c>
      <c r="W19" t="str">
        <f>IF(L19=0,"",IF(L19&gt;48,AB19,IF(L19&lt;=24,Z19,AA19)))</f>
        <v/>
      </c>
      <c r="Z19">
        <v>83.5</v>
      </c>
      <c r="AA19">
        <v>162</v>
      </c>
      <c r="AB19">
        <v>314</v>
      </c>
    </row>
    <row r="20" spans="1:28">
      <c r="I20" t="s">
        <v>20</v>
      </c>
      <c r="J20" s="21" t="b">
        <v>0</v>
      </c>
      <c r="W20" s="34">
        <f>IF($N$6=TRUE,IF($O$6="yes",J20*((Y20+2)+50),J20*(Y20+50)),IF($O$6="yes",J20*(Y20+2),J20*Y20))</f>
        <v>0</v>
      </c>
      <c r="Y20">
        <f t="shared" ref="Y20" si="5">Y18+0.25</f>
        <v>13.5</v>
      </c>
    </row>
    <row r="21" spans="1:28">
      <c r="K21" s="5"/>
      <c r="L21" s="5">
        <f>K21</f>
        <v>0</v>
      </c>
      <c r="M21" s="17">
        <v>2.375</v>
      </c>
      <c r="N21" s="8"/>
      <c r="V21" t="b">
        <f>IF(L21&gt;K21,TRUE,FALSE)</f>
        <v>0</v>
      </c>
      <c r="W21" t="str">
        <f>IF(L21=0,"",IF(L21&gt;48,AB21,IF(L21&lt;=24,Z21,AA21)))</f>
        <v/>
      </c>
      <c r="Z21">
        <v>94.25</v>
      </c>
      <c r="AA21">
        <v>183.5</v>
      </c>
      <c r="AB21">
        <v>357</v>
      </c>
    </row>
    <row r="22" spans="1:28">
      <c r="H22" s="4" t="s">
        <v>23</v>
      </c>
      <c r="I22" s="4"/>
    </row>
  </sheetData>
  <mergeCells count="2">
    <mergeCell ref="O8:P14"/>
    <mergeCell ref="G1:S3"/>
  </mergeCells>
  <conditionalFormatting sqref="O8:P14">
    <cfRule type="notContainsBlanks" dxfId="0" priority="1">
      <formula>LEN(TRIM(O8))&gt;0</formula>
    </cfRule>
  </conditionalFormatting>
  <dataValidations count="1">
    <dataValidation type="list" allowBlank="1" showInputMessage="1" showErrorMessage="1" sqref="O6">
      <formula1>$X$7:$X$8</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Sheet4"/>
  <dimension ref="A1:G12"/>
  <sheetViews>
    <sheetView workbookViewId="0">
      <selection activeCell="J10" sqref="J10"/>
    </sheetView>
  </sheetViews>
  <sheetFormatPr defaultRowHeight="15"/>
  <cols>
    <col min="1" max="1" width="29.42578125" customWidth="1"/>
  </cols>
  <sheetData>
    <row r="1" spans="1:7">
      <c r="B1" t="s">
        <v>47</v>
      </c>
      <c r="C1" t="s">
        <v>48</v>
      </c>
      <c r="D1" t="s">
        <v>49</v>
      </c>
      <c r="E1" t="s">
        <v>50</v>
      </c>
      <c r="F1" t="s">
        <v>51</v>
      </c>
      <c r="G1" t="s">
        <v>52</v>
      </c>
    </row>
    <row r="2" spans="1:7">
      <c r="A2">
        <v>11</v>
      </c>
      <c r="B2">
        <v>0.02</v>
      </c>
      <c r="C2">
        <v>6.4000000000000001E-2</v>
      </c>
      <c r="D2">
        <v>0.23799999999999999</v>
      </c>
      <c r="E2">
        <f>D2-(B2-C2)</f>
        <v>0.28199999999999997</v>
      </c>
      <c r="F2">
        <v>0.54</v>
      </c>
      <c r="G2">
        <f>F2-E2</f>
        <v>0.25800000000000006</v>
      </c>
    </row>
    <row r="3" spans="1:7">
      <c r="A3">
        <v>12</v>
      </c>
      <c r="B3">
        <v>2.4E-2</v>
      </c>
      <c r="C3">
        <v>7.5999999999999998E-2</v>
      </c>
      <c r="D3">
        <v>0.28499999999999998</v>
      </c>
      <c r="E3">
        <f t="shared" ref="E3:E12" si="0">D3-(B3-C3)</f>
        <v>0.33699999999999997</v>
      </c>
      <c r="F3">
        <v>0.67600000000000005</v>
      </c>
      <c r="G3">
        <f t="shared" ref="G3:G12" si="1">F3-E3</f>
        <v>0.33900000000000008</v>
      </c>
    </row>
    <row r="4" spans="1:7">
      <c r="A4">
        <v>1</v>
      </c>
      <c r="B4">
        <v>2.8000000000000001E-2</v>
      </c>
      <c r="C4">
        <v>8.8999999999999996E-2</v>
      </c>
      <c r="D4">
        <v>0.33300000000000002</v>
      </c>
      <c r="E4">
        <f t="shared" si="0"/>
        <v>0.39400000000000002</v>
      </c>
      <c r="F4">
        <v>0.81200000000000006</v>
      </c>
      <c r="G4">
        <f t="shared" si="1"/>
        <v>0.41800000000000004</v>
      </c>
    </row>
    <row r="5" spans="1:7">
      <c r="A5">
        <v>2</v>
      </c>
      <c r="B5">
        <v>3.2000000000000001E-2</v>
      </c>
      <c r="C5">
        <v>0.10199999999999999</v>
      </c>
      <c r="D5">
        <v>0.38100000000000001</v>
      </c>
      <c r="E5">
        <f t="shared" si="0"/>
        <v>0.45100000000000001</v>
      </c>
      <c r="F5">
        <v>0.94799999999999995</v>
      </c>
      <c r="G5">
        <f t="shared" si="1"/>
        <v>0.49699999999999994</v>
      </c>
    </row>
    <row r="6" spans="1:7">
      <c r="A6">
        <v>3</v>
      </c>
      <c r="B6">
        <v>3.5999999999999997E-2</v>
      </c>
      <c r="C6">
        <v>0.114</v>
      </c>
      <c r="D6">
        <v>0.42799999999999999</v>
      </c>
      <c r="E6">
        <f t="shared" si="0"/>
        <v>0.50600000000000001</v>
      </c>
      <c r="F6">
        <v>1.0840000000000001</v>
      </c>
      <c r="G6">
        <f t="shared" si="1"/>
        <v>0.57800000000000007</v>
      </c>
    </row>
    <row r="7" spans="1:7">
      <c r="A7">
        <v>4</v>
      </c>
      <c r="B7">
        <v>0.04</v>
      </c>
      <c r="C7">
        <v>0.127</v>
      </c>
      <c r="D7">
        <v>0.47599999999999998</v>
      </c>
      <c r="E7">
        <f t="shared" si="0"/>
        <v>0.56299999999999994</v>
      </c>
      <c r="F7">
        <v>1.22</v>
      </c>
      <c r="G7">
        <f t="shared" si="1"/>
        <v>0.65700000000000003</v>
      </c>
    </row>
    <row r="8" spans="1:7">
      <c r="A8">
        <v>5</v>
      </c>
      <c r="B8">
        <v>4.3999999999999997E-2</v>
      </c>
      <c r="C8">
        <v>0.14000000000000001</v>
      </c>
      <c r="D8">
        <v>0.52300000000000002</v>
      </c>
      <c r="E8">
        <f t="shared" si="0"/>
        <v>0.61899999999999999</v>
      </c>
      <c r="F8">
        <v>1.3560000000000001</v>
      </c>
      <c r="G8">
        <f t="shared" si="1"/>
        <v>0.7370000000000001</v>
      </c>
    </row>
    <row r="9" spans="1:7">
      <c r="A9">
        <v>6</v>
      </c>
      <c r="B9">
        <v>4.8000000000000001E-2</v>
      </c>
      <c r="C9">
        <v>0.153</v>
      </c>
      <c r="D9">
        <v>0.57299999999999995</v>
      </c>
      <c r="E9">
        <f t="shared" si="0"/>
        <v>0.67799999999999994</v>
      </c>
      <c r="F9">
        <v>1.492</v>
      </c>
      <c r="G9">
        <f t="shared" si="1"/>
        <v>0.81400000000000006</v>
      </c>
    </row>
    <row r="10" spans="1:7">
      <c r="A10">
        <v>7</v>
      </c>
      <c r="B10">
        <v>5.1999999999999998E-2</v>
      </c>
      <c r="C10">
        <v>0.16500000000000001</v>
      </c>
      <c r="D10">
        <v>0.61799999999999999</v>
      </c>
      <c r="E10">
        <f t="shared" si="0"/>
        <v>0.73099999999999998</v>
      </c>
      <c r="F10">
        <v>1.6279999999999999</v>
      </c>
      <c r="G10">
        <f t="shared" si="1"/>
        <v>0.89699999999999991</v>
      </c>
    </row>
    <row r="11" spans="1:7">
      <c r="A11">
        <v>8</v>
      </c>
      <c r="B11">
        <v>5.6000000000000001E-2</v>
      </c>
      <c r="C11">
        <v>0.17799999999999999</v>
      </c>
      <c r="D11">
        <v>0.66600000000000004</v>
      </c>
      <c r="E11">
        <f t="shared" si="0"/>
        <v>0.78800000000000003</v>
      </c>
      <c r="F11">
        <v>1.764</v>
      </c>
      <c r="G11">
        <f t="shared" si="1"/>
        <v>0.97599999999999998</v>
      </c>
    </row>
    <row r="12" spans="1:7">
      <c r="A12">
        <v>9</v>
      </c>
      <c r="B12">
        <v>0.06</v>
      </c>
      <c r="C12">
        <v>0.191</v>
      </c>
      <c r="D12">
        <v>0.71399999999999997</v>
      </c>
      <c r="E12">
        <f t="shared" si="0"/>
        <v>0.84499999999999997</v>
      </c>
      <c r="F12">
        <v>1.899</v>
      </c>
      <c r="G12">
        <f t="shared" si="1"/>
        <v>1.054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Example Worksheet</vt:lpstr>
      <vt:lpstr>"Standard" Worksheet</vt:lpstr>
      <vt:lpstr>"Rugged" Worksheet</vt:lpstr>
      <vt:lpstr>Sheet1</vt:lpstr>
      <vt:lpstr>'Example Worksheet'!TubeTypes</vt:lpstr>
      <vt:lpstr>TubeTypes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Smith</dc:creator>
  <cp:lastModifiedBy>Andy Morabito</cp:lastModifiedBy>
  <cp:lastPrinted>2017-01-31T21:55:18Z</cp:lastPrinted>
  <dcterms:created xsi:type="dcterms:W3CDTF">2016-07-13T13:22:19Z</dcterms:created>
  <dcterms:modified xsi:type="dcterms:W3CDTF">2017-03-07T14:50:44Z</dcterms:modified>
</cp:coreProperties>
</file>